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Dell\Downloads\"/>
    </mc:Choice>
  </mc:AlternateContent>
  <bookViews>
    <workbookView xWindow="0" yWindow="0" windowWidth="21570" windowHeight="8145" tabRatio="647" firstSheet="2" activeTab="2"/>
  </bookViews>
  <sheets>
    <sheet name="Chart1" sheetId="14" state="hidden" r:id="rId1"/>
    <sheet name="Sheet1" sheetId="15" state="hidden" r:id="rId2"/>
    <sheet name="ESTIMATE" sheetId="16" r:id="rId3"/>
  </sheets>
  <definedNames>
    <definedName name="_xlnm.Print_Area" localSheetId="2">ESTIMATE!$A$1:$O$157</definedName>
    <definedName name="_xlnm.Print_Titles" localSheetId="2">ESTIMATE!$4:$4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4" i="16" l="1"/>
  <c r="H64" i="16" s="1"/>
  <c r="F44" i="16"/>
  <c r="H44" i="16" s="1"/>
  <c r="F36" i="16"/>
  <c r="H36" i="16" s="1"/>
  <c r="F19" i="16"/>
  <c r="H19" i="16" s="1"/>
  <c r="M19" i="16" s="1"/>
  <c r="F113" i="16"/>
  <c r="H113" i="16" s="1"/>
  <c r="F119" i="16"/>
  <c r="H119" i="16" s="1"/>
  <c r="F145" i="16"/>
  <c r="H145" i="16" s="1"/>
  <c r="M145" i="16" s="1"/>
  <c r="F125" i="16"/>
  <c r="H125" i="16" s="1"/>
  <c r="F137" i="16"/>
  <c r="H137" i="16" s="1"/>
  <c r="F131" i="16"/>
  <c r="H131" i="16" s="1"/>
  <c r="F105" i="16"/>
  <c r="H105" i="16" s="1"/>
  <c r="F99" i="16"/>
  <c r="H99" i="16" s="1"/>
  <c r="M99" i="16" s="1"/>
  <c r="F93" i="16"/>
  <c r="H93" i="16" s="1"/>
  <c r="H83" i="16"/>
  <c r="M83" i="16" s="1"/>
  <c r="H82" i="16"/>
  <c r="M82" i="16" s="1"/>
  <c r="A15" i="16"/>
  <c r="A16" i="16"/>
  <c r="A17" i="16"/>
  <c r="A18" i="16"/>
  <c r="A26" i="16"/>
  <c r="A27" i="16"/>
  <c r="A34" i="16"/>
  <c r="A35" i="16"/>
  <c r="A42" i="16"/>
  <c r="A43" i="16"/>
  <c r="A50" i="16"/>
  <c r="A51" i="16"/>
  <c r="A57" i="16"/>
  <c r="A58" i="16"/>
  <c r="A62" i="16"/>
  <c r="A63" i="16"/>
  <c r="A71" i="16"/>
  <c r="A72" i="16"/>
  <c r="A78" i="16"/>
  <c r="A79" i="16"/>
  <c r="A84" i="16"/>
  <c r="A85" i="16"/>
  <c r="A89" i="16"/>
  <c r="A90" i="16"/>
  <c r="A91" i="16"/>
  <c r="A92" i="16"/>
  <c r="A97" i="16"/>
  <c r="A98" i="16"/>
  <c r="A103" i="16"/>
  <c r="A104" i="16"/>
  <c r="A111" i="16"/>
  <c r="A112" i="16"/>
  <c r="A117" i="16"/>
  <c r="A118" i="16"/>
  <c r="A123" i="16"/>
  <c r="A124" i="16"/>
  <c r="A129" i="16"/>
  <c r="A130" i="16"/>
  <c r="A135" i="16"/>
  <c r="A136" i="16"/>
  <c r="A143" i="16"/>
  <c r="A144" i="16"/>
  <c r="A149" i="16"/>
  <c r="F148" i="16"/>
  <c r="H148" i="16" s="1"/>
  <c r="F146" i="16"/>
  <c r="H146" i="16" s="1"/>
  <c r="F142" i="16"/>
  <c r="F139" i="16" s="1"/>
  <c r="H139" i="16" s="1"/>
  <c r="F140" i="16"/>
  <c r="H140" i="16" s="1"/>
  <c r="F138" i="16"/>
  <c r="H138" i="16" s="1"/>
  <c r="F134" i="16"/>
  <c r="F133" i="16" s="1"/>
  <c r="H133" i="16" s="1"/>
  <c r="F132" i="16"/>
  <c r="H132" i="16" s="1"/>
  <c r="F128" i="16"/>
  <c r="H128" i="16" s="1"/>
  <c r="M128" i="16" s="1"/>
  <c r="F126" i="16"/>
  <c r="H126" i="16" s="1"/>
  <c r="F122" i="16"/>
  <c r="H122" i="16" s="1"/>
  <c r="F120" i="16"/>
  <c r="H120" i="16" s="1"/>
  <c r="F116" i="16"/>
  <c r="H116" i="16" s="1"/>
  <c r="F114" i="16"/>
  <c r="H114" i="16" s="1"/>
  <c r="F110" i="16"/>
  <c r="F107" i="16" s="1"/>
  <c r="F108" i="16"/>
  <c r="F106" i="16"/>
  <c r="H106" i="16" s="1"/>
  <c r="F102" i="16"/>
  <c r="H102" i="16" s="1"/>
  <c r="F100" i="16"/>
  <c r="H100" i="16" s="1"/>
  <c r="F94" i="16"/>
  <c r="M64" i="16" l="1"/>
  <c r="K64" i="16"/>
  <c r="M44" i="16"/>
  <c r="K44" i="16"/>
  <c r="M36" i="16"/>
  <c r="K36" i="16"/>
  <c r="K19" i="16"/>
  <c r="N19" i="16" s="1"/>
  <c r="M113" i="16"/>
  <c r="K113" i="16"/>
  <c r="M119" i="16"/>
  <c r="K119" i="16"/>
  <c r="K145" i="16"/>
  <c r="N145" i="16" s="1"/>
  <c r="M125" i="16"/>
  <c r="K125" i="16"/>
  <c r="M137" i="16"/>
  <c r="K137" i="16"/>
  <c r="M131" i="16"/>
  <c r="K131" i="16"/>
  <c r="M105" i="16"/>
  <c r="K105" i="16"/>
  <c r="M93" i="16"/>
  <c r="K93" i="16"/>
  <c r="K99" i="16"/>
  <c r="N99" i="16" s="1"/>
  <c r="K83" i="16"/>
  <c r="N83" i="16" s="1"/>
  <c r="K82" i="16"/>
  <c r="N82" i="16" s="1"/>
  <c r="F147" i="16"/>
  <c r="H147" i="16" s="1"/>
  <c r="K147" i="16" s="1"/>
  <c r="M148" i="16"/>
  <c r="K148" i="16"/>
  <c r="K146" i="16"/>
  <c r="M146" i="16"/>
  <c r="F141" i="16"/>
  <c r="H141" i="16" s="1"/>
  <c r="K141" i="16" s="1"/>
  <c r="K139" i="16"/>
  <c r="M139" i="16"/>
  <c r="M138" i="16"/>
  <c r="K138" i="16"/>
  <c r="M140" i="16"/>
  <c r="K140" i="16"/>
  <c r="H142" i="16"/>
  <c r="H134" i="16"/>
  <c r="M134" i="16" s="1"/>
  <c r="M133" i="16"/>
  <c r="K133" i="16"/>
  <c r="M126" i="16"/>
  <c r="K126" i="16"/>
  <c r="M132" i="16"/>
  <c r="K132" i="16"/>
  <c r="F127" i="16"/>
  <c r="H127" i="16" s="1"/>
  <c r="K127" i="16" s="1"/>
  <c r="K128" i="16"/>
  <c r="N128" i="16" s="1"/>
  <c r="F121" i="16"/>
  <c r="H121" i="16" s="1"/>
  <c r="K121" i="16" s="1"/>
  <c r="M120" i="16"/>
  <c r="K120" i="16"/>
  <c r="K122" i="16"/>
  <c r="M122" i="16"/>
  <c r="H110" i="16"/>
  <c r="K110" i="16" s="1"/>
  <c r="M114" i="16"/>
  <c r="K114" i="16"/>
  <c r="M116" i="16"/>
  <c r="K116" i="16"/>
  <c r="F109" i="16"/>
  <c r="H109" i="16" s="1"/>
  <c r="K109" i="16" s="1"/>
  <c r="F115" i="16"/>
  <c r="H115" i="16" s="1"/>
  <c r="K106" i="16"/>
  <c r="M106" i="16"/>
  <c r="F101" i="16"/>
  <c r="H101" i="16" s="1"/>
  <c r="M101" i="16" s="1"/>
  <c r="M100" i="16"/>
  <c r="K100" i="16"/>
  <c r="M102" i="16"/>
  <c r="K102" i="16"/>
  <c r="N64" i="16" l="1"/>
  <c r="N36" i="16"/>
  <c r="N44" i="16"/>
  <c r="N113" i="16"/>
  <c r="N119" i="16"/>
  <c r="N125" i="16"/>
  <c r="N131" i="16"/>
  <c r="N137" i="16"/>
  <c r="N122" i="16"/>
  <c r="N93" i="16"/>
  <c r="N105" i="16"/>
  <c r="M121" i="16"/>
  <c r="N121" i="16" s="1"/>
  <c r="N139" i="16"/>
  <c r="M147" i="16"/>
  <c r="N147" i="16" s="1"/>
  <c r="N138" i="16"/>
  <c r="M141" i="16"/>
  <c r="N141" i="16" s="1"/>
  <c r="N146" i="16"/>
  <c r="N148" i="16"/>
  <c r="N132" i="16"/>
  <c r="M142" i="16"/>
  <c r="K142" i="16"/>
  <c r="N140" i="16"/>
  <c r="N120" i="16"/>
  <c r="K134" i="16"/>
  <c r="N134" i="16" s="1"/>
  <c r="N126" i="16"/>
  <c r="N133" i="16"/>
  <c r="M127" i="16"/>
  <c r="N127" i="16" s="1"/>
  <c r="M110" i="16"/>
  <c r="N110" i="16" s="1"/>
  <c r="M109" i="16"/>
  <c r="N109" i="16" s="1"/>
  <c r="N106" i="16"/>
  <c r="N116" i="16"/>
  <c r="N114" i="16"/>
  <c r="M115" i="16"/>
  <c r="K115" i="16"/>
  <c r="H107" i="16"/>
  <c r="M107" i="16" s="1"/>
  <c r="H108" i="16"/>
  <c r="K101" i="16"/>
  <c r="N101" i="16" s="1"/>
  <c r="N102" i="16"/>
  <c r="N100" i="16"/>
  <c r="N142" i="16" l="1"/>
  <c r="N115" i="16"/>
  <c r="K107" i="16"/>
  <c r="N107" i="16" s="1"/>
  <c r="M108" i="16"/>
  <c r="K108" i="16"/>
  <c r="N108" i="16" l="1"/>
  <c r="F96" i="16" l="1"/>
  <c r="F95" i="16" s="1"/>
  <c r="H95" i="16" s="1"/>
  <c r="M95" i="16" s="1"/>
  <c r="H94" i="16"/>
  <c r="M94" i="16" s="1"/>
  <c r="F88" i="16"/>
  <c r="H88" i="16" s="1"/>
  <c r="M88" i="16" s="1"/>
  <c r="F87" i="16"/>
  <c r="H87" i="16" s="1"/>
  <c r="K87" i="16" s="1"/>
  <c r="F86" i="16"/>
  <c r="H86" i="16" s="1"/>
  <c r="M86" i="16" s="1"/>
  <c r="H81" i="16"/>
  <c r="M81" i="16" s="1"/>
  <c r="H80" i="16"/>
  <c r="K80" i="16" s="1"/>
  <c r="F77" i="16"/>
  <c r="H77" i="16" s="1"/>
  <c r="F76" i="16"/>
  <c r="H76" i="16" s="1"/>
  <c r="F75" i="16"/>
  <c r="H75" i="16" s="1"/>
  <c r="F73" i="16"/>
  <c r="H73" i="16" s="1"/>
  <c r="M73" i="16" s="1"/>
  <c r="F74" i="16"/>
  <c r="H74" i="16" s="1"/>
  <c r="M74" i="16" s="1"/>
  <c r="F70" i="16"/>
  <c r="H70" i="16" s="1"/>
  <c r="F69" i="16"/>
  <c r="H69" i="16" s="1"/>
  <c r="F68" i="16"/>
  <c r="H68" i="16" s="1"/>
  <c r="F67" i="16"/>
  <c r="H67" i="16" s="1"/>
  <c r="F66" i="16"/>
  <c r="H66" i="16" s="1"/>
  <c r="M66" i="16" s="1"/>
  <c r="F65" i="16"/>
  <c r="H65" i="16" s="1"/>
  <c r="K65" i="16" s="1"/>
  <c r="F61" i="16"/>
  <c r="H61" i="16" s="1"/>
  <c r="F60" i="16"/>
  <c r="H60" i="16" s="1"/>
  <c r="F59" i="16"/>
  <c r="H59" i="16" s="1"/>
  <c r="M59" i="16" s="1"/>
  <c r="F56" i="16"/>
  <c r="H56" i="16" s="1"/>
  <c r="F55" i="16"/>
  <c r="H55" i="16" s="1"/>
  <c r="F54" i="16"/>
  <c r="H54" i="16" s="1"/>
  <c r="M54" i="16" s="1"/>
  <c r="F53" i="16"/>
  <c r="H53" i="16" s="1"/>
  <c r="M53" i="16" s="1"/>
  <c r="F20" i="16"/>
  <c r="H20" i="16" s="1"/>
  <c r="F52" i="16"/>
  <c r="H52" i="16" s="1"/>
  <c r="F48" i="16"/>
  <c r="H48" i="16" s="1"/>
  <c r="F47" i="16"/>
  <c r="H47" i="16" s="1"/>
  <c r="K47" i="16" s="1"/>
  <c r="F46" i="16"/>
  <c r="H46" i="16" s="1"/>
  <c r="F45" i="16"/>
  <c r="H45" i="16" s="1"/>
  <c r="F49" i="16"/>
  <c r="H49" i="16" s="1"/>
  <c r="F27" i="16"/>
  <c r="F28" i="16" s="1"/>
  <c r="F41" i="16"/>
  <c r="H41" i="16" s="1"/>
  <c r="M41" i="16" s="1"/>
  <c r="F40" i="16"/>
  <c r="H40" i="16" s="1"/>
  <c r="F39" i="16"/>
  <c r="H39" i="16" s="1"/>
  <c r="F38" i="16"/>
  <c r="H38" i="16" s="1"/>
  <c r="F37" i="16"/>
  <c r="H37" i="16" s="1"/>
  <c r="F25" i="16"/>
  <c r="H25" i="16" s="1"/>
  <c r="F23" i="16"/>
  <c r="H23" i="16" s="1"/>
  <c r="F22" i="16"/>
  <c r="H22" i="16" s="1"/>
  <c r="F24" i="16"/>
  <c r="H24" i="16" s="1"/>
  <c r="F21" i="16"/>
  <c r="H21" i="16" s="1"/>
  <c r="F32" i="16" l="1"/>
  <c r="H32" i="16" s="1"/>
  <c r="K32" i="16" s="1"/>
  <c r="H28" i="16"/>
  <c r="M25" i="16"/>
  <c r="H96" i="16"/>
  <c r="M96" i="16" s="1"/>
  <c r="K94" i="16"/>
  <c r="N94" i="16" s="1"/>
  <c r="K95" i="16"/>
  <c r="N95" i="16" s="1"/>
  <c r="K86" i="16"/>
  <c r="N86" i="16" s="1"/>
  <c r="K88" i="16"/>
  <c r="N88" i="16" s="1"/>
  <c r="M87" i="16"/>
  <c r="N87" i="16" s="1"/>
  <c r="K81" i="16"/>
  <c r="N81" i="16" s="1"/>
  <c r="M80" i="16"/>
  <c r="N80" i="16" s="1"/>
  <c r="K77" i="16"/>
  <c r="M77" i="16"/>
  <c r="M76" i="16"/>
  <c r="K76" i="16"/>
  <c r="M75" i="16"/>
  <c r="K75" i="16"/>
  <c r="K74" i="16"/>
  <c r="N74" i="16" s="1"/>
  <c r="K73" i="16"/>
  <c r="N73" i="16" s="1"/>
  <c r="M67" i="16"/>
  <c r="K67" i="16"/>
  <c r="M65" i="16"/>
  <c r="N65" i="16" s="1"/>
  <c r="M69" i="16"/>
  <c r="K69" i="16"/>
  <c r="M68" i="16"/>
  <c r="K68" i="16"/>
  <c r="K70" i="16"/>
  <c r="M70" i="16"/>
  <c r="K66" i="16"/>
  <c r="N66" i="16" s="1"/>
  <c r="K60" i="16"/>
  <c r="M60" i="16"/>
  <c r="K61" i="16"/>
  <c r="M61" i="16"/>
  <c r="K59" i="16"/>
  <c r="N59" i="16" s="1"/>
  <c r="F33" i="16"/>
  <c r="H33" i="16" s="1"/>
  <c r="M33" i="16" s="1"/>
  <c r="F29" i="16"/>
  <c r="H29" i="16" s="1"/>
  <c r="M56" i="16"/>
  <c r="K56" i="16"/>
  <c r="M52" i="16"/>
  <c r="K52" i="16"/>
  <c r="K55" i="16"/>
  <c r="M55" i="16"/>
  <c r="K53" i="16"/>
  <c r="N53" i="16" s="1"/>
  <c r="K54" i="16"/>
  <c r="N54" i="16" s="1"/>
  <c r="K48" i="16"/>
  <c r="M48" i="16"/>
  <c r="M46" i="16"/>
  <c r="K46" i="16"/>
  <c r="M45" i="16"/>
  <c r="K45" i="16"/>
  <c r="M49" i="16"/>
  <c r="K49" i="16"/>
  <c r="M47" i="16"/>
  <c r="N47" i="16" s="1"/>
  <c r="F31" i="16"/>
  <c r="H31" i="16" s="1"/>
  <c r="F30" i="16"/>
  <c r="H30" i="16" s="1"/>
  <c r="M37" i="16"/>
  <c r="K37" i="16"/>
  <c r="K39" i="16"/>
  <c r="M39" i="16"/>
  <c r="M38" i="16"/>
  <c r="K38" i="16"/>
  <c r="M40" i="16"/>
  <c r="K40" i="16"/>
  <c r="K41" i="16"/>
  <c r="N41" i="16" s="1"/>
  <c r="K24" i="16"/>
  <c r="M24" i="16"/>
  <c r="K25" i="16"/>
  <c r="M20" i="16"/>
  <c r="K20" i="16"/>
  <c r="M21" i="16"/>
  <c r="K21" i="16"/>
  <c r="M23" i="16"/>
  <c r="K23" i="16"/>
  <c r="M22" i="16"/>
  <c r="K22" i="16"/>
  <c r="H14" i="16"/>
  <c r="H13" i="16"/>
  <c r="H12" i="16"/>
  <c r="K12" i="16" s="1"/>
  <c r="H11" i="16"/>
  <c r="H10" i="16"/>
  <c r="H9" i="16"/>
  <c r="H8" i="16"/>
  <c r="M32" i="16" l="1"/>
  <c r="M28" i="16"/>
  <c r="K28" i="16"/>
  <c r="N25" i="16"/>
  <c r="K29" i="16"/>
  <c r="M31" i="16"/>
  <c r="M30" i="16"/>
  <c r="K96" i="16"/>
  <c r="N96" i="16" s="1"/>
  <c r="O90" i="16"/>
  <c r="N70" i="16"/>
  <c r="N75" i="16"/>
  <c r="N76" i="16"/>
  <c r="N77" i="16"/>
  <c r="N67" i="16"/>
  <c r="N69" i="16"/>
  <c r="N68" i="16"/>
  <c r="K33" i="16"/>
  <c r="N33" i="16" s="1"/>
  <c r="N61" i="16"/>
  <c r="N60" i="16"/>
  <c r="N56" i="16"/>
  <c r="N55" i="16"/>
  <c r="N52" i="16"/>
  <c r="N48" i="16"/>
  <c r="N24" i="16"/>
  <c r="N46" i="16"/>
  <c r="N45" i="16"/>
  <c r="N49" i="16"/>
  <c r="N37" i="16"/>
  <c r="M29" i="16"/>
  <c r="N40" i="16"/>
  <c r="K31" i="16"/>
  <c r="N31" i="16" s="1"/>
  <c r="N38" i="16"/>
  <c r="N39" i="16"/>
  <c r="K30" i="16"/>
  <c r="N21" i="16"/>
  <c r="N23" i="16"/>
  <c r="N32" i="16"/>
  <c r="N20" i="16"/>
  <c r="N22" i="16"/>
  <c r="K8" i="16"/>
  <c r="M10" i="16"/>
  <c r="K11" i="16"/>
  <c r="M11" i="16"/>
  <c r="K14" i="16"/>
  <c r="M14" i="16"/>
  <c r="M8" i="16"/>
  <c r="K9" i="16"/>
  <c r="M12" i="16"/>
  <c r="N12" i="16" s="1"/>
  <c r="K13" i="16"/>
  <c r="M9" i="16"/>
  <c r="K10" i="16"/>
  <c r="M13" i="16"/>
  <c r="N28" i="16" l="1"/>
  <c r="N29" i="16"/>
  <c r="N30" i="16"/>
  <c r="N10" i="16"/>
  <c r="N8" i="16"/>
  <c r="N11" i="16"/>
  <c r="N14" i="16"/>
  <c r="N13" i="16"/>
  <c r="N9" i="16"/>
  <c r="O16" i="16" l="1"/>
  <c r="H7" i="16" l="1"/>
  <c r="A7" i="16" s="1"/>
  <c r="A8" i="16" l="1"/>
  <c r="A9" i="16" s="1"/>
  <c r="K7" i="16"/>
  <c r="K150" i="16" s="1"/>
  <c r="M7" i="16"/>
  <c r="M150" i="16" s="1"/>
  <c r="A10" i="16" l="1"/>
  <c r="M153" i="16"/>
  <c r="M152" i="16"/>
  <c r="M151" i="16"/>
  <c r="K153" i="16"/>
  <c r="N150" i="16"/>
  <c r="K152" i="16"/>
  <c r="K151" i="16"/>
  <c r="N7" i="16"/>
  <c r="O5" i="16" s="1"/>
  <c r="O150" i="16" s="1"/>
  <c r="A11" i="16" l="1"/>
  <c r="A12" i="16" s="1"/>
  <c r="K155" i="16"/>
  <c r="O153" i="16"/>
  <c r="O152" i="16"/>
  <c r="N153" i="16"/>
  <c r="N152" i="16"/>
  <c r="N151" i="16"/>
  <c r="M155" i="16"/>
  <c r="A13" i="16" l="1"/>
  <c r="A14" i="16" s="1"/>
  <c r="A20" i="16" s="1"/>
  <c r="A21" i="16" s="1"/>
  <c r="A22" i="16" s="1"/>
  <c r="A23" i="16" s="1"/>
  <c r="A24" i="16" s="1"/>
  <c r="A25" i="16" l="1"/>
  <c r="A29" i="16" s="1"/>
  <c r="A30" i="16" s="1"/>
  <c r="A31" i="16" s="1"/>
  <c r="A32" i="16" s="1"/>
  <c r="A33" i="16" s="1"/>
  <c r="A37" i="16" s="1"/>
  <c r="A38" i="16" s="1"/>
  <c r="A39" i="16" s="1"/>
  <c r="A40" i="16" s="1"/>
  <c r="A41" i="16" s="1"/>
  <c r="A45" i="16" s="1"/>
  <c r="A46" i="16" s="1"/>
  <c r="A47" i="16" s="1"/>
  <c r="A48" i="16" s="1"/>
  <c r="A49" i="16" s="1"/>
  <c r="A52" i="16" s="1"/>
  <c r="A53" i="16" s="1"/>
  <c r="A54" i="16" s="1"/>
  <c r="A55" i="16" s="1"/>
  <c r="A56" i="16" s="1"/>
  <c r="A59" i="16" s="1"/>
  <c r="A60" i="16" s="1"/>
  <c r="A61" i="16" s="1"/>
  <c r="A65" i="16" s="1"/>
  <c r="A66" i="16" s="1"/>
  <c r="A67" i="16" s="1"/>
  <c r="A68" i="16" s="1"/>
  <c r="A69" i="16" s="1"/>
  <c r="A70" i="16" s="1"/>
  <c r="A73" i="16" s="1"/>
  <c r="A74" i="16" s="1"/>
  <c r="A75" i="16" s="1"/>
  <c r="A76" i="16" s="1"/>
  <c r="A77" i="16" s="1"/>
  <c r="A80" i="16" s="1"/>
  <c r="A81" i="16" s="1"/>
  <c r="A86" i="16" s="1"/>
  <c r="A87" i="16" s="1"/>
  <c r="A88" i="16" s="1"/>
  <c r="A94" i="16" s="1"/>
  <c r="A95" i="16" s="1"/>
  <c r="A96" i="16" s="1"/>
  <c r="A100" i="16" s="1"/>
  <c r="A101" i="16" s="1"/>
  <c r="A102" i="16" s="1"/>
  <c r="A106" i="16" s="1"/>
  <c r="A107" i="16" s="1"/>
  <c r="A108" i="16" s="1"/>
  <c r="A109" i="16" s="1"/>
  <c r="A110" i="16" s="1"/>
  <c r="A114" i="16" s="1"/>
  <c r="A115" i="16" s="1"/>
  <c r="A116" i="16" s="1"/>
  <c r="A120" i="16" s="1"/>
  <c r="A121" i="16" s="1"/>
  <c r="A122" i="16" s="1"/>
  <c r="A126" i="16" s="1"/>
  <c r="A127" i="16" s="1"/>
  <c r="A128" i="16" s="1"/>
  <c r="A132" i="16" s="1"/>
  <c r="A133" i="16" s="1"/>
  <c r="A134" i="16" s="1"/>
  <c r="A138" i="16" s="1"/>
  <c r="A139" i="16" s="1"/>
  <c r="A140" i="16" s="1"/>
  <c r="A141" i="16" s="1"/>
  <c r="A142" i="16" s="1"/>
  <c r="A146" i="16" s="1"/>
  <c r="A147" i="16" s="1"/>
  <c r="A148" i="16" s="1"/>
  <c r="O151" i="16"/>
  <c r="N155" i="16" l="1"/>
  <c r="O155" i="16"/>
</calcChain>
</file>

<file path=xl/sharedStrings.xml><?xml version="1.0" encoding="utf-8"?>
<sst xmlns="http://schemas.openxmlformats.org/spreadsheetml/2006/main" count="270" uniqueCount="111">
  <si>
    <t>DESCRIPTION</t>
  </si>
  <si>
    <t>SUB TOTAL</t>
  </si>
  <si>
    <t>SR #</t>
  </si>
  <si>
    <t>QUANTITY</t>
  </si>
  <si>
    <t>WASTAGE
(10%)</t>
  </si>
  <si>
    <t>QTY WITH
WASTAGE</t>
  </si>
  <si>
    <t>UNIT OF
MEASURMENT</t>
  </si>
  <si>
    <t>TOTAL TRADE
COST</t>
  </si>
  <si>
    <t>TOTAL BID</t>
  </si>
  <si>
    <t>CSI SECT</t>
  </si>
  <si>
    <t>PROJECT:</t>
  </si>
  <si>
    <t>CONCRETE</t>
  </si>
  <si>
    <t>DIV. 03</t>
  </si>
  <si>
    <t>DIV.01</t>
  </si>
  <si>
    <t>GENERAL CONDITIONS</t>
  </si>
  <si>
    <t>LS</t>
  </si>
  <si>
    <t>TOTAL LABOR COST</t>
  </si>
  <si>
    <t>UNIT LABOR
 COST</t>
  </si>
  <si>
    <t>UNIT MATERIAL
 COST</t>
  </si>
  <si>
    <t>TOTAL MATERIAL
COST</t>
  </si>
  <si>
    <t>TOTAL ITEM COST</t>
  </si>
  <si>
    <t>Permit</t>
  </si>
  <si>
    <t>Supervision</t>
  </si>
  <si>
    <t>Final Cleanup</t>
  </si>
  <si>
    <t>Mobilization Cost</t>
  </si>
  <si>
    <t>Bonds</t>
  </si>
  <si>
    <t>Fees (Architect &amp; Engineer)</t>
  </si>
  <si>
    <t>Temporary Control &amp; Facilities</t>
  </si>
  <si>
    <t>Projects Overheads</t>
  </si>
  <si>
    <t>DIV. 04</t>
  </si>
  <si>
    <t>MASONRY</t>
  </si>
  <si>
    <t>INSURANCE</t>
  </si>
  <si>
    <t>CONTIGENCY</t>
  </si>
  <si>
    <t>OVERHEAD &amp; PROFIT</t>
  </si>
  <si>
    <t>LOCATION:</t>
  </si>
  <si>
    <t>DATE:</t>
  </si>
  <si>
    <t>REF. SHEET #</t>
  </si>
  <si>
    <t>DETAILS</t>
  </si>
  <si>
    <t>Section 1-S3.01</t>
  </si>
  <si>
    <t>Section 2-S3.01</t>
  </si>
  <si>
    <t>Section 3-S3.01</t>
  </si>
  <si>
    <t>Section 4-S3.01</t>
  </si>
  <si>
    <t>Section 7-S3.01</t>
  </si>
  <si>
    <t>Section 8-S3.01</t>
  </si>
  <si>
    <t>Section 5-S3.01</t>
  </si>
  <si>
    <t>Section 6-S3.01</t>
  </si>
  <si>
    <t>EA</t>
  </si>
  <si>
    <t>LF</t>
  </si>
  <si>
    <t>SF</t>
  </si>
  <si>
    <t>2'-4'' X 1'-0'' Concrete Wall Footing</t>
  </si>
  <si>
    <t>(4) #4 Continous Rebars</t>
  </si>
  <si>
    <t>#5 @12'' O.C , Length= 2'</t>
  </si>
  <si>
    <t>16'' X 8'' Blocks</t>
  </si>
  <si>
    <t>Grouts</t>
  </si>
  <si>
    <t>#5 Dowels @ 24'' O.C , Length= 4.55'</t>
  </si>
  <si>
    <t>CY</t>
  </si>
  <si>
    <t>4'-10'' X 1'-0'' Concrete Wall Footing</t>
  </si>
  <si>
    <t>(6) #4 Continous Rebars</t>
  </si>
  <si>
    <t>#5 @12'' O.C , Length= 4.5'</t>
  </si>
  <si>
    <t>#5 Dowels @ 24'' O.C , Length= 4.6'</t>
  </si>
  <si>
    <t>4'-4'' X 1'-0'' Concrete Wall Footing</t>
  </si>
  <si>
    <t>(5) #4 Continous Rebars</t>
  </si>
  <si>
    <t>#5 @12'' O.C , Length= 4'</t>
  </si>
  <si>
    <t>2'-0'' X 1'-0'' Concrete Wall Footing</t>
  </si>
  <si>
    <t>(3) #4 Continous Rebars</t>
  </si>
  <si>
    <t>#5 @12'' O.C , Length= 1.67'</t>
  </si>
  <si>
    <t>#5 Dowels @ 24'' O.C , Length= 3.8'</t>
  </si>
  <si>
    <t>3.31 sf Wall Footing</t>
  </si>
  <si>
    <t>(1) #5 Continous Rebars</t>
  </si>
  <si>
    <t>#5 @12'' O.C , Length= 1.83'</t>
  </si>
  <si>
    <t>12'' X 8'' Blocks</t>
  </si>
  <si>
    <t>#5 Dowels @ 24'' O.C , Length= 3.7'</t>
  </si>
  <si>
    <t>#5 Dowels @ 24'' O.C , Length= 4.5'</t>
  </si>
  <si>
    <t>6 X 6 - W4.0x W4.0 W.W.F</t>
  </si>
  <si>
    <t xml:space="preserve">4'' Concrete Slab </t>
  </si>
  <si>
    <t>Footing Pads</t>
  </si>
  <si>
    <t xml:space="preserve">F4.0: 4'-0'' X 4'-0'' X 1'-0'' </t>
  </si>
  <si>
    <t>(4) #5 Bars EW @ Bottom Transverse</t>
  </si>
  <si>
    <t>(4) #5 Bars EW @ Bottom Longitudnial</t>
  </si>
  <si>
    <t>12'' CMU Wall, Height: 16'-8''</t>
  </si>
  <si>
    <t>8BC CMU Wall, Height: 11'-2''</t>
  </si>
  <si>
    <t>8B1 CMU Wall, Height: 11'-2''</t>
  </si>
  <si>
    <t>8B1 CMU Wall, Height: 5'-2''</t>
  </si>
  <si>
    <t>8'' CMU Wall, Height: 14'-8''</t>
  </si>
  <si>
    <t>8'' CMU Wall, Height: 8'-8''</t>
  </si>
  <si>
    <t>6BC CMU Wall, Height: 11'-2''</t>
  </si>
  <si>
    <t>6B CMU Wall, Height: 11'-2''</t>
  </si>
  <si>
    <t>6B CMU Wall, Height: 5'-2''</t>
  </si>
  <si>
    <t>6'' X 8'' X 16'' Full Block</t>
  </si>
  <si>
    <t>Total SF</t>
  </si>
  <si>
    <t>6'' X 8'' X 16'' CMU Bond Beam</t>
  </si>
  <si>
    <t>4'' X 8'' X 16'' CMU Bond Beam</t>
  </si>
  <si>
    <t>4'' X 8'' X 16'' Full Block</t>
  </si>
  <si>
    <t>8'' X 8'' X 16'' CMU Bond Beam</t>
  </si>
  <si>
    <t>8'' X 8'' X 16'' Full Block</t>
  </si>
  <si>
    <t>12'' X 8'' X 16'' CMU Bond Beam</t>
  </si>
  <si>
    <t>12'' X 8'' X 16'' Full Block</t>
  </si>
  <si>
    <t>Slab</t>
  </si>
  <si>
    <t>Waterproofing For Slab</t>
  </si>
  <si>
    <t>#5 Vertical Bars, Length = 5.16'</t>
  </si>
  <si>
    <t>#5 Vertical Bars, Length = 11.16'</t>
  </si>
  <si>
    <t>#5 Vertical Bars, Length = 16.67'</t>
  </si>
  <si>
    <t>#5 Vertical Bars, Length = 14.67'</t>
  </si>
  <si>
    <t>#5 Vertical Bars, Length = 8.67'</t>
  </si>
  <si>
    <t>10 Mil Vapor Barrier</t>
  </si>
  <si>
    <t>Waterproofing</t>
  </si>
  <si>
    <t>S1.01</t>
  </si>
  <si>
    <t>S3.01</t>
  </si>
  <si>
    <t>A1.01</t>
  </si>
  <si>
    <t>A5.01</t>
  </si>
  <si>
    <t>TAKEOFF PROJECTIONS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</si>
</sst>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2" formatCode="_(&quot;$&quot;* #,##0_);_(&quot;$&quot;* \(#,##0\);_(&quot;$&quot;* &quot;-&quot;_);_(@_)"/>
    <numFmt numFmtId="41" formatCode="_(* #,##0_);_(* \(#,##0\);_(* &quot;-&quot;_);_(@_)"/>
    <numFmt numFmtId="43" formatCode="_(* #,##0.00_);_(* \(#,##0.00\);_(* &quot;-&quot;??_);_(@_)"/>
    <numFmt numFmtId="164" formatCode="&quot;$&quot;#,##0"/>
    <numFmt numFmtId="165" formatCode="_(&quot;$&quot;* #,##0_);_(&quot;$&quot;* \(#,##0\);_(&quot;$&quot;* &quot;-&quot;??_);_(@_)"/>
    <numFmt numFmtId="166" formatCode="_(&quot;$&quot;* #,##0.0_);_(&quot;$&quot;* \(#,##0.0\);_(&quot;$&quot;* &quot;-&quot;??_);_(@_)"/>
    <numFmt numFmtId="167" formatCode="_(* #,##0.00_);_(* \(#,##0.00\);_(* &quot;-&quot;_);_(@_)"/>
  </numFmts>
  <fonts count="37" x14ac:knownFonts="1">
    <font>
      <sz val="12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12"/>
      <name val="Cambria"/>
      <family val="1"/>
      <scheme val="major"/>
    </font>
    <font>
      <b/>
      <sz val="12"/>
      <name val="Cambria"/>
      <family val="1"/>
      <scheme val="major"/>
    </font>
    <font>
      <b/>
      <sz val="11"/>
      <color theme="0"/>
      <name val="Cambria"/>
      <family val="1"/>
      <scheme val="major"/>
    </font>
    <font>
      <sz val="11"/>
      <name val="Cambria"/>
      <family val="1"/>
      <scheme val="major"/>
    </font>
    <font>
      <b/>
      <sz val="14"/>
      <color theme="0" tint="-4.9989318521683403E-2"/>
      <name val="Cambria"/>
      <family val="1"/>
      <scheme val="major"/>
    </font>
    <font>
      <b/>
      <sz val="14"/>
      <color theme="0" tint="-0.499984740745262"/>
      <name val="Cambria"/>
      <family val="1"/>
      <scheme val="major"/>
    </font>
    <font>
      <b/>
      <sz val="11"/>
      <color theme="0" tint="-4.9989318521683403E-2"/>
      <name val="Cambria"/>
      <family val="1"/>
      <scheme val="major"/>
    </font>
    <font>
      <b/>
      <sz val="11"/>
      <name val="Cambria"/>
      <family val="1"/>
      <scheme val="major"/>
    </font>
    <font>
      <b/>
      <sz val="12"/>
      <color theme="0"/>
      <name val="Cambria"/>
      <family val="1"/>
      <scheme val="major"/>
    </font>
    <font>
      <sz val="10"/>
      <name val="Cambria"/>
      <family val="1"/>
      <scheme val="major"/>
    </font>
    <font>
      <b/>
      <sz val="10"/>
      <name val="Cambria"/>
      <family val="1"/>
      <scheme val="major"/>
    </font>
    <font>
      <b/>
      <sz val="12"/>
      <color theme="0" tint="-4.9989318521683403E-2"/>
      <name val="Cambria"/>
      <family val="1"/>
      <scheme val="major"/>
    </font>
    <font>
      <sz val="12"/>
      <color theme="0"/>
      <name val="Cambria"/>
      <family val="1"/>
      <scheme val="major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4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92">
    <xf numFmtId="0" fontId="0" fillId="0" borderId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8" fillId="20" borderId="1" applyNumberFormat="0" applyAlignment="0" applyProtection="0"/>
    <xf numFmtId="0" fontId="8" fillId="20" borderId="1" applyNumberFormat="0" applyAlignment="0" applyProtection="0"/>
    <xf numFmtId="0" fontId="9" fillId="21" borderId="2" applyNumberFormat="0" applyAlignment="0" applyProtection="0"/>
    <xf numFmtId="0" fontId="9" fillId="21" borderId="2" applyNumberFormat="0" applyAlignment="0" applyProtection="0"/>
    <xf numFmtId="43" fontId="22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3" fillId="0" borderId="0"/>
    <xf numFmtId="0" fontId="22" fillId="0" borderId="0"/>
    <xf numFmtId="0" fontId="4" fillId="0" borderId="0"/>
    <xf numFmtId="0" fontId="23" fillId="0" borderId="0"/>
    <xf numFmtId="0" fontId="4" fillId="23" borderId="7" applyNumberFormat="0" applyFont="0" applyAlignment="0" applyProtection="0"/>
    <xf numFmtId="0" fontId="4" fillId="23" borderId="7" applyNumberFormat="0" applyFont="0" applyAlignment="0" applyProtection="0"/>
    <xf numFmtId="0" fontId="18" fillId="20" borderId="8" applyNumberFormat="0" applyAlignment="0" applyProtection="0"/>
    <xf numFmtId="0" fontId="18" fillId="20" borderId="8" applyNumberFormat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" fillId="0" borderId="0"/>
    <xf numFmtId="0" fontId="4" fillId="0" borderId="0"/>
    <xf numFmtId="43" fontId="4" fillId="0" borderId="0" applyFont="0" applyFill="0" applyBorder="0" applyAlignment="0" applyProtection="0"/>
    <xf numFmtId="0" fontId="1" fillId="0" borderId="0"/>
  </cellStyleXfs>
  <cellXfs count="86">
    <xf numFmtId="0" fontId="0" fillId="0" borderId="0" xfId="0"/>
    <xf numFmtId="0" fontId="24" fillId="0" borderId="0" xfId="0" applyFont="1"/>
    <xf numFmtId="0" fontId="24" fillId="0" borderId="0" xfId="0" applyFont="1" applyBorder="1"/>
    <xf numFmtId="0" fontId="29" fillId="0" borderId="25" xfId="0" applyFont="1" applyBorder="1" applyAlignment="1"/>
    <xf numFmtId="0" fontId="28" fillId="24" borderId="13" xfId="0" applyFont="1" applyFill="1" applyBorder="1" applyAlignment="1"/>
    <xf numFmtId="0" fontId="29" fillId="0" borderId="0" xfId="0" applyFont="1" applyAlignment="1"/>
    <xf numFmtId="14" fontId="29" fillId="0" borderId="17" xfId="0" applyNumberFormat="1" applyFont="1" applyBorder="1" applyAlignment="1"/>
    <xf numFmtId="9" fontId="32" fillId="25" borderId="34" xfId="0" applyNumberFormat="1" applyFont="1" applyFill="1" applyBorder="1" applyAlignment="1">
      <alignment horizontal="center" vertical="top"/>
    </xf>
    <xf numFmtId="0" fontId="28" fillId="24" borderId="25" xfId="0" applyFont="1" applyFill="1" applyBorder="1" applyAlignment="1"/>
    <xf numFmtId="0" fontId="24" fillId="0" borderId="25" xfId="0" applyFont="1" applyBorder="1"/>
    <xf numFmtId="0" fontId="29" fillId="0" borderId="26" xfId="0" applyFont="1" applyBorder="1" applyAlignment="1"/>
    <xf numFmtId="0" fontId="28" fillId="24" borderId="14" xfId="0" applyFont="1" applyFill="1" applyBorder="1" applyAlignment="1"/>
    <xf numFmtId="0" fontId="28" fillId="24" borderId="0" xfId="0" applyFont="1" applyFill="1" applyAlignment="1"/>
    <xf numFmtId="0" fontId="29" fillId="0" borderId="27" xfId="0" applyFont="1" applyBorder="1" applyAlignment="1"/>
    <xf numFmtId="18" fontId="24" fillId="0" borderId="0" xfId="0" applyNumberFormat="1" applyFont="1"/>
    <xf numFmtId="0" fontId="24" fillId="0" borderId="23" xfId="0" applyFont="1" applyBorder="1"/>
    <xf numFmtId="0" fontId="24" fillId="0" borderId="17" xfId="0" applyFont="1" applyBorder="1"/>
    <xf numFmtId="14" fontId="29" fillId="0" borderId="28" xfId="0" applyNumberFormat="1" applyFont="1" applyBorder="1" applyAlignment="1"/>
    <xf numFmtId="0" fontId="26" fillId="24" borderId="16" xfId="0" applyFont="1" applyFill="1" applyBorder="1" applyAlignment="1">
      <alignment horizontal="center" vertical="center"/>
    </xf>
    <xf numFmtId="0" fontId="26" fillId="24" borderId="33" xfId="0" applyFont="1" applyFill="1" applyBorder="1" applyAlignment="1">
      <alignment horizontal="center" vertical="center"/>
    </xf>
    <xf numFmtId="0" fontId="26" fillId="24" borderId="16" xfId="0" applyFont="1" applyFill="1" applyBorder="1" applyAlignment="1">
      <alignment horizontal="center" vertical="center" wrapText="1"/>
    </xf>
    <xf numFmtId="0" fontId="26" fillId="24" borderId="38" xfId="0" applyFont="1" applyFill="1" applyBorder="1" applyAlignment="1">
      <alignment horizontal="center" vertical="center" wrapText="1"/>
    </xf>
    <xf numFmtId="0" fontId="26" fillId="24" borderId="11" xfId="0" applyFont="1" applyFill="1" applyBorder="1" applyAlignment="1">
      <alignment horizontal="center" vertical="center" wrapText="1"/>
    </xf>
    <xf numFmtId="0" fontId="31" fillId="0" borderId="0" xfId="0" applyFont="1"/>
    <xf numFmtId="0" fontId="31" fillId="25" borderId="11" xfId="0" applyFont="1" applyFill="1" applyBorder="1" applyAlignment="1">
      <alignment horizontal="center" vertical="center"/>
    </xf>
    <xf numFmtId="0" fontId="31" fillId="25" borderId="10" xfId="0" applyFont="1" applyFill="1" applyBorder="1" applyAlignment="1">
      <alignment horizontal="center" vertical="center"/>
    </xf>
    <xf numFmtId="0" fontId="30" fillId="25" borderId="10" xfId="0" applyFont="1" applyFill="1" applyBorder="1" applyAlignment="1">
      <alignment horizontal="center" vertical="center"/>
    </xf>
    <xf numFmtId="0" fontId="30" fillId="25" borderId="10" xfId="0" applyFont="1" applyFill="1" applyBorder="1" applyAlignment="1">
      <alignment vertical="center"/>
    </xf>
    <xf numFmtId="0" fontId="31" fillId="25" borderId="10" xfId="0" applyFont="1" applyFill="1" applyBorder="1" applyAlignment="1">
      <alignment horizontal="center" vertical="center" wrapText="1"/>
    </xf>
    <xf numFmtId="165" fontId="26" fillId="25" borderId="16" xfId="0" applyNumberFormat="1" applyFont="1" applyFill="1" applyBorder="1"/>
    <xf numFmtId="1" fontId="27" fillId="0" borderId="29" xfId="0" applyNumberFormat="1" applyFont="1" applyFill="1" applyBorder="1" applyAlignment="1">
      <alignment horizontal="center" vertical="top"/>
    </xf>
    <xf numFmtId="1" fontId="27" fillId="0" borderId="30" xfId="0" applyNumberFormat="1" applyFont="1" applyFill="1" applyBorder="1" applyAlignment="1">
      <alignment horizontal="center" vertical="top"/>
    </xf>
    <xf numFmtId="1" fontId="27" fillId="0" borderId="0" xfId="0" applyNumberFormat="1" applyFont="1" applyFill="1" applyBorder="1" applyAlignment="1">
      <alignment horizontal="center" vertical="top"/>
    </xf>
    <xf numFmtId="0" fontId="24" fillId="0" borderId="12" xfId="0" applyFont="1" applyBorder="1"/>
    <xf numFmtId="0" fontId="27" fillId="0" borderId="32" xfId="0" applyFont="1" applyFill="1" applyBorder="1" applyAlignment="1">
      <alignment horizontal="justify" vertical="center"/>
    </xf>
    <xf numFmtId="41" fontId="27" fillId="0" borderId="0" xfId="0" applyNumberFormat="1" applyFont="1" applyFill="1" applyBorder="1" applyAlignment="1">
      <alignment horizontal="right" vertical="center"/>
    </xf>
    <xf numFmtId="9" fontId="33" fillId="0" borderId="0" xfId="0" applyNumberFormat="1" applyFont="1" applyBorder="1" applyAlignment="1">
      <alignment vertical="center"/>
    </xf>
    <xf numFmtId="41" fontId="27" fillId="0" borderId="0" xfId="0" applyNumberFormat="1" applyFont="1" applyFill="1" applyBorder="1" applyAlignment="1">
      <alignment vertical="center"/>
    </xf>
    <xf numFmtId="0" fontId="33" fillId="0" borderId="0" xfId="0" applyFont="1" applyFill="1" applyBorder="1" applyAlignment="1">
      <alignment horizontal="center" vertical="center"/>
    </xf>
    <xf numFmtId="166" fontId="33" fillId="0" borderId="0" xfId="0" applyNumberFormat="1" applyFont="1" applyBorder="1" applyAlignment="1">
      <alignment vertical="center"/>
    </xf>
    <xf numFmtId="165" fontId="33" fillId="0" borderId="0" xfId="0" applyNumberFormat="1" applyFont="1" applyBorder="1" applyAlignment="1">
      <alignment vertical="center"/>
    </xf>
    <xf numFmtId="0" fontId="34" fillId="0" borderId="15" xfId="0" applyFont="1" applyFill="1" applyBorder="1" applyAlignment="1">
      <alignment horizontal="center" vertical="center" wrapText="1"/>
    </xf>
    <xf numFmtId="1" fontId="30" fillId="24" borderId="11" xfId="0" applyNumberFormat="1" applyFont="1" applyFill="1" applyBorder="1" applyAlignment="1">
      <alignment horizontal="center" vertical="top"/>
    </xf>
    <xf numFmtId="0" fontId="25" fillId="0" borderId="18" xfId="0" applyFont="1" applyBorder="1" applyAlignment="1">
      <alignment vertical="top"/>
    </xf>
    <xf numFmtId="164" fontId="24" fillId="0" borderId="19" xfId="0" applyNumberFormat="1" applyFont="1" applyBorder="1" applyAlignment="1">
      <alignment horizontal="center" vertical="top"/>
    </xf>
    <xf numFmtId="0" fontId="24" fillId="0" borderId="19" xfId="0" applyFont="1" applyBorder="1" applyAlignment="1">
      <alignment horizontal="center" vertical="center"/>
    </xf>
    <xf numFmtId="0" fontId="36" fillId="0" borderId="19" xfId="0" applyFont="1" applyBorder="1" applyAlignment="1">
      <alignment vertical="top"/>
    </xf>
    <xf numFmtId="42" fontId="32" fillId="25" borderId="19" xfId="0" applyNumberFormat="1" applyFont="1" applyFill="1" applyBorder="1" applyAlignment="1">
      <alignment vertical="top"/>
    </xf>
    <xf numFmtId="42" fontId="32" fillId="25" borderId="20" xfId="0" applyNumberFormat="1" applyFont="1" applyFill="1" applyBorder="1" applyAlignment="1">
      <alignment vertical="top"/>
    </xf>
    <xf numFmtId="0" fontId="25" fillId="0" borderId="34" xfId="0" applyFont="1" applyBorder="1" applyAlignment="1">
      <alignment vertical="top"/>
    </xf>
    <xf numFmtId="164" fontId="24" fillId="0" borderId="34" xfId="0" applyNumberFormat="1" applyFont="1" applyBorder="1" applyAlignment="1">
      <alignment horizontal="center" vertical="top"/>
    </xf>
    <xf numFmtId="0" fontId="24" fillId="0" borderId="34" xfId="0" applyFont="1" applyBorder="1" applyAlignment="1">
      <alignment horizontal="center" vertical="center"/>
    </xf>
    <xf numFmtId="42" fontId="32" fillId="25" borderId="34" xfId="0" applyNumberFormat="1" applyFont="1" applyFill="1" applyBorder="1" applyAlignment="1">
      <alignment vertical="top"/>
    </xf>
    <xf numFmtId="9" fontId="32" fillId="0" borderId="34" xfId="0" applyNumberFormat="1" applyFont="1" applyBorder="1" applyAlignment="1">
      <alignment horizontal="center" vertical="top"/>
    </xf>
    <xf numFmtId="42" fontId="32" fillId="25" borderId="35" xfId="0" applyNumberFormat="1" applyFont="1" applyFill="1" applyBorder="1" applyAlignment="1">
      <alignment vertical="top"/>
    </xf>
    <xf numFmtId="164" fontId="24" fillId="0" borderId="21" xfId="0" applyNumberFormat="1" applyFont="1" applyBorder="1" applyAlignment="1">
      <alignment horizontal="center" vertical="top"/>
    </xf>
    <xf numFmtId="0" fontId="24" fillId="0" borderId="21" xfId="0" applyFont="1" applyBorder="1" applyAlignment="1">
      <alignment horizontal="center" vertical="center"/>
    </xf>
    <xf numFmtId="9" fontId="32" fillId="25" borderId="21" xfId="0" applyNumberFormat="1" applyFont="1" applyFill="1" applyBorder="1" applyAlignment="1">
      <alignment horizontal="center" vertical="top"/>
    </xf>
    <xf numFmtId="42" fontId="32" fillId="25" borderId="21" xfId="0" applyNumberFormat="1" applyFont="1" applyFill="1" applyBorder="1" applyAlignment="1">
      <alignment vertical="top"/>
    </xf>
    <xf numFmtId="9" fontId="32" fillId="0" borderId="21" xfId="0" applyNumberFormat="1" applyFont="1" applyBorder="1" applyAlignment="1">
      <alignment horizontal="center" vertical="top"/>
    </xf>
    <xf numFmtId="42" fontId="32" fillId="25" borderId="22" xfId="0" applyNumberFormat="1" applyFont="1" applyFill="1" applyBorder="1" applyAlignment="1">
      <alignment vertical="top"/>
    </xf>
    <xf numFmtId="164" fontId="24" fillId="0" borderId="18" xfId="0" applyNumberFormat="1" applyFont="1" applyBorder="1" applyAlignment="1">
      <alignment horizontal="center" vertical="top"/>
    </xf>
    <xf numFmtId="9" fontId="25" fillId="0" borderId="19" xfId="0" applyNumberFormat="1" applyFont="1" applyBorder="1" applyAlignment="1">
      <alignment horizontal="center" vertical="top"/>
    </xf>
    <xf numFmtId="42" fontId="25" fillId="0" borderId="19" xfId="0" applyNumberFormat="1" applyFont="1" applyBorder="1" applyAlignment="1">
      <alignment vertical="top"/>
    </xf>
    <xf numFmtId="42" fontId="25" fillId="0" borderId="24" xfId="0" applyNumberFormat="1" applyFont="1" applyBorder="1" applyAlignment="1">
      <alignment vertical="top"/>
    </xf>
    <xf numFmtId="0" fontId="24" fillId="0" borderId="34" xfId="0" applyFont="1" applyBorder="1" applyAlignment="1">
      <alignment vertical="top"/>
    </xf>
    <xf numFmtId="42" fontId="35" fillId="24" borderId="31" xfId="0" applyNumberFormat="1" applyFont="1" applyFill="1" applyBorder="1" applyAlignment="1">
      <alignment vertical="top"/>
    </xf>
    <xf numFmtId="42" fontId="35" fillId="24" borderId="35" xfId="0" applyNumberFormat="1" applyFont="1" applyFill="1" applyBorder="1" applyAlignment="1">
      <alignment vertical="top"/>
    </xf>
    <xf numFmtId="0" fontId="24" fillId="0" borderId="17" xfId="0" applyFont="1" applyBorder="1" applyAlignment="1">
      <alignment vertical="center"/>
    </xf>
    <xf numFmtId="0" fontId="24" fillId="0" borderId="28" xfId="0" applyFont="1" applyBorder="1"/>
    <xf numFmtId="0" fontId="24" fillId="0" borderId="0" xfId="0" applyFont="1" applyAlignment="1">
      <alignment vertical="center"/>
    </xf>
    <xf numFmtId="42" fontId="25" fillId="0" borderId="0" xfId="0" applyNumberFormat="1" applyFont="1" applyFill="1" applyBorder="1" applyAlignment="1">
      <alignment vertical="top"/>
    </xf>
    <xf numFmtId="167" fontId="27" fillId="0" borderId="0" xfId="0" applyNumberFormat="1" applyFont="1" applyFill="1" applyBorder="1" applyAlignment="1">
      <alignment horizontal="right" vertical="center"/>
    </xf>
    <xf numFmtId="0" fontId="25" fillId="26" borderId="39" xfId="0" applyFont="1" applyFill="1" applyBorder="1"/>
    <xf numFmtId="0" fontId="31" fillId="26" borderId="40" xfId="0" applyFont="1" applyFill="1" applyBorder="1" applyAlignment="1">
      <alignment horizontal="justify" vertical="center"/>
    </xf>
    <xf numFmtId="0" fontId="35" fillId="24" borderId="36" xfId="0" applyFont="1" applyFill="1" applyBorder="1" applyAlignment="1">
      <alignment horizontal="center" vertical="top"/>
    </xf>
    <xf numFmtId="0" fontId="35" fillId="24" borderId="34" xfId="0" applyFont="1" applyFill="1" applyBorder="1" applyAlignment="1">
      <alignment horizontal="center" vertical="top"/>
    </xf>
    <xf numFmtId="0" fontId="35" fillId="24" borderId="37" xfId="0" applyFont="1" applyFill="1" applyBorder="1" applyAlignment="1">
      <alignment horizontal="center" vertical="top"/>
    </xf>
    <xf numFmtId="0" fontId="28" fillId="24" borderId="25" xfId="0" applyFont="1" applyFill="1" applyBorder="1" applyAlignment="1">
      <alignment horizontal="center"/>
    </xf>
    <xf numFmtId="0" fontId="28" fillId="24" borderId="0" xfId="0" applyFont="1" applyFill="1" applyAlignment="1">
      <alignment horizontal="center"/>
    </xf>
    <xf numFmtId="0" fontId="28" fillId="24" borderId="17" xfId="0" applyFont="1" applyFill="1" applyBorder="1" applyAlignment="1">
      <alignment horizontal="center"/>
    </xf>
    <xf numFmtId="0" fontId="35" fillId="25" borderId="18" xfId="0" applyFont="1" applyFill="1" applyBorder="1" applyAlignment="1">
      <alignment horizontal="center" vertical="top"/>
    </xf>
    <xf numFmtId="0" fontId="35" fillId="25" borderId="19" xfId="0" applyFont="1" applyFill="1" applyBorder="1" applyAlignment="1">
      <alignment horizontal="center" vertical="top"/>
    </xf>
    <xf numFmtId="0" fontId="35" fillId="25" borderId="24" xfId="0" applyFont="1" applyFill="1" applyBorder="1" applyAlignment="1">
      <alignment horizontal="center" vertical="top"/>
    </xf>
    <xf numFmtId="1" fontId="31" fillId="0" borderId="30" xfId="0" applyNumberFormat="1" applyFont="1" applyFill="1" applyBorder="1" applyAlignment="1">
      <alignment horizontal="center" vertical="center"/>
    </xf>
    <xf numFmtId="1" fontId="31" fillId="0" borderId="41" xfId="0" applyNumberFormat="1" applyFont="1" applyFill="1" applyBorder="1" applyAlignment="1">
      <alignment horizontal="center" vertical="center"/>
    </xf>
  </cellXfs>
  <cellStyles count="92">
    <cellStyle name="20% - Accent1 2" xfId="1"/>
    <cellStyle name="20% - Accent1 3" xfId="2"/>
    <cellStyle name="20% - Accent2 2" xfId="3"/>
    <cellStyle name="20% - Accent2 3" xfId="4"/>
    <cellStyle name="20% - Accent3 2" xfId="5"/>
    <cellStyle name="20% - Accent3 3" xfId="6"/>
    <cellStyle name="20% - Accent4 2" xfId="7"/>
    <cellStyle name="20% - Accent4 3" xfId="8"/>
    <cellStyle name="20% - Accent5 2" xfId="9"/>
    <cellStyle name="20% - Accent5 3" xfId="10"/>
    <cellStyle name="20% - Accent6 2" xfId="11"/>
    <cellStyle name="20% - Accent6 3" xfId="12"/>
    <cellStyle name="40% - Accent1 2" xfId="13"/>
    <cellStyle name="40% - Accent1 3" xfId="14"/>
    <cellStyle name="40% - Accent2 2" xfId="15"/>
    <cellStyle name="40% - Accent2 3" xfId="16"/>
    <cellStyle name="40% - Accent3 2" xfId="17"/>
    <cellStyle name="40% - Accent3 3" xfId="18"/>
    <cellStyle name="40% - Accent4 2" xfId="19"/>
    <cellStyle name="40% - Accent4 3" xfId="20"/>
    <cellStyle name="40% - Accent5 2" xfId="21"/>
    <cellStyle name="40% - Accent5 3" xfId="22"/>
    <cellStyle name="40% - Accent6 2" xfId="23"/>
    <cellStyle name="40% - Accent6 3" xfId="24"/>
    <cellStyle name="60% - Accent1 2" xfId="25"/>
    <cellStyle name="60% - Accent1 3" xfId="26"/>
    <cellStyle name="60% - Accent2 2" xfId="27"/>
    <cellStyle name="60% - Accent2 3" xfId="28"/>
    <cellStyle name="60% - Accent3 2" xfId="29"/>
    <cellStyle name="60% - Accent3 3" xfId="30"/>
    <cellStyle name="60% - Accent4 2" xfId="31"/>
    <cellStyle name="60% - Accent4 3" xfId="32"/>
    <cellStyle name="60% - Accent5 2" xfId="33"/>
    <cellStyle name="60% - Accent5 3" xfId="34"/>
    <cellStyle name="60% - Accent6 2" xfId="35"/>
    <cellStyle name="60% - Accent6 3" xfId="36"/>
    <cellStyle name="Accent1 2" xfId="37"/>
    <cellStyle name="Accent1 3" xfId="38"/>
    <cellStyle name="Accent2 2" xfId="39"/>
    <cellStyle name="Accent2 3" xfId="40"/>
    <cellStyle name="Accent3 2" xfId="41"/>
    <cellStyle name="Accent3 3" xfId="42"/>
    <cellStyle name="Accent4 2" xfId="43"/>
    <cellStyle name="Accent4 3" xfId="44"/>
    <cellStyle name="Accent5 2" xfId="45"/>
    <cellStyle name="Accent5 3" xfId="46"/>
    <cellStyle name="Accent6 2" xfId="47"/>
    <cellStyle name="Accent6 3" xfId="48"/>
    <cellStyle name="Bad 2" xfId="49"/>
    <cellStyle name="Bad 3" xfId="50"/>
    <cellStyle name="Calculation 2" xfId="51"/>
    <cellStyle name="Calculation 3" xfId="52"/>
    <cellStyle name="Check Cell 2" xfId="53"/>
    <cellStyle name="Check Cell 3" xfId="54"/>
    <cellStyle name="Comma 2" xfId="55"/>
    <cellStyle name="Comma 2 2" xfId="90"/>
    <cellStyle name="Explanatory Text 2" xfId="56"/>
    <cellStyle name="Explanatory Text 3" xfId="57"/>
    <cellStyle name="Good 2" xfId="58"/>
    <cellStyle name="Good 3" xfId="59"/>
    <cellStyle name="Heading 1 2" xfId="60"/>
    <cellStyle name="Heading 1 3" xfId="61"/>
    <cellStyle name="Heading 2 2" xfId="62"/>
    <cellStyle name="Heading 2 3" xfId="63"/>
    <cellStyle name="Heading 3 2" xfId="64"/>
    <cellStyle name="Heading 3 3" xfId="65"/>
    <cellStyle name="Heading 4 2" xfId="66"/>
    <cellStyle name="Heading 4 3" xfId="67"/>
    <cellStyle name="Input 2" xfId="68"/>
    <cellStyle name="Input 3" xfId="69"/>
    <cellStyle name="Linked Cell 2" xfId="70"/>
    <cellStyle name="Linked Cell 3" xfId="71"/>
    <cellStyle name="Neutral 2" xfId="72"/>
    <cellStyle name="Neutral 3" xfId="73"/>
    <cellStyle name="Normal" xfId="0" builtinId="0"/>
    <cellStyle name="Normal 2" xfId="89"/>
    <cellStyle name="Normal 2 2" xfId="74"/>
    <cellStyle name="Normal 2 3" xfId="75"/>
    <cellStyle name="Normal 3" xfId="76"/>
    <cellStyle name="Normal 4" xfId="88"/>
    <cellStyle name="Normal 5" xfId="91"/>
    <cellStyle name="Normal 6" xfId="77"/>
    <cellStyle name="Note 2" xfId="78"/>
    <cellStyle name="Note 3" xfId="79"/>
    <cellStyle name="Output 2" xfId="80"/>
    <cellStyle name="Output 3" xfId="81"/>
    <cellStyle name="Title 2" xfId="82"/>
    <cellStyle name="Title 3" xfId="83"/>
    <cellStyle name="Total 2" xfId="84"/>
    <cellStyle name="Total 3" xfId="85"/>
    <cellStyle name="Warning Text 2" xfId="86"/>
    <cellStyle name="Warning Text 3" xfId="87"/>
  </cellStyles>
  <dxfs count="0"/>
  <tableStyles count="0" defaultTableStyle="TableStyleMedium9" defaultPivotStyle="PivotStyleLight16"/>
  <colors>
    <mruColors>
      <color rgb="FFFFFFFF"/>
      <color rgb="FF6DD9FF"/>
      <color rgb="FF2DC8FF"/>
      <color rgb="FF48B8E0"/>
      <color rgb="FFD4F5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2.xml"/><Relationship Id="rId7" Type="http://schemas.openxmlformats.org/officeDocument/2006/relationships/calcChain" Target="calcChain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D70-4E35-9E3E-70CC9B69F960}"/>
            </c:ext>
            <c:ext xmlns:c15="http://schemas.microsoft.com/office/drawing/2012/chart" uri="{02D57815-91ED-43cb-92C2-25804820EDAC}">
              <c15:filteredSeriesTitle>
                <c15:tx>
                  <c:strRef>
                    <c:extLst xmlns:c16r2="http://schemas.microsoft.com/office/drawing/2015/06/chart" xmlns:c16="http://schemas.microsoft.com/office/drawing/2014/chart"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 xmlns:c16r2="http://schemas.microsoft.com/office/drawing/2015/06/chart"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8051600"/>
        <c:axId val="1528045616"/>
      </c:barChart>
      <c:catAx>
        <c:axId val="15280516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270000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528045616"/>
        <c:crosses val="autoZero"/>
        <c:auto val="1"/>
        <c:lblAlgn val="ctr"/>
        <c:lblOffset val="100"/>
        <c:noMultiLvlLbl val="0"/>
      </c:catAx>
      <c:valAx>
        <c:axId val="15280456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528051600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41" workbookViewId="0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58225" cy="62865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"/>
  <sheetData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71"/>
  <sheetViews>
    <sheetView tabSelected="1" zoomScale="90" zoomScaleNormal="90" zoomScaleSheetLayoutView="62" workbookViewId="0">
      <selection activeCell="J1" sqref="J1"/>
    </sheetView>
  </sheetViews>
  <sheetFormatPr defaultRowHeight="15.75" x14ac:dyDescent="0.25"/>
  <cols>
    <col min="1" max="1" width="4.44140625" style="1" customWidth="1"/>
    <col min="2" max="3" width="9.44140625" style="1" customWidth="1"/>
    <col min="4" max="4" width="10.109375" style="1" customWidth="1"/>
    <col min="5" max="5" width="38" style="1" customWidth="1"/>
    <col min="6" max="6" width="8.109375" style="1" customWidth="1"/>
    <col min="7" max="7" width="8.5546875" style="1" customWidth="1"/>
    <col min="8" max="8" width="9.33203125" style="1" customWidth="1"/>
    <col min="9" max="9" width="10.77734375" style="70" customWidth="1"/>
    <col min="10" max="10" width="11.77734375" style="1" customWidth="1"/>
    <col min="11" max="11" width="10.21875" style="1" customWidth="1"/>
    <col min="12" max="12" width="11.44140625" style="1" customWidth="1"/>
    <col min="13" max="13" width="12.77734375" style="1" customWidth="1"/>
    <col min="14" max="14" width="12.77734375" style="33" customWidth="1"/>
    <col min="15" max="15" width="11" style="1" customWidth="1"/>
    <col min="16" max="16384" width="8.88671875" style="1"/>
  </cols>
  <sheetData>
    <row r="1" spans="1:16" ht="18" x14ac:dyDescent="0.25">
      <c r="A1" s="4" t="s">
        <v>110</v>
      </c>
      <c r="B1" s="8"/>
      <c r="C1" s="8"/>
      <c r="D1" s="8"/>
      <c r="E1" s="8"/>
      <c r="F1" s="9"/>
      <c r="G1" s="9"/>
      <c r="H1" s="78" t="s">
        <v>10</v>
      </c>
      <c r="I1" s="78"/>
      <c r="J1" s="3"/>
      <c r="K1" s="3"/>
      <c r="L1" s="3"/>
      <c r="M1" s="3"/>
      <c r="N1" s="3"/>
      <c r="O1" s="10"/>
    </row>
    <row r="2" spans="1:16" ht="18" x14ac:dyDescent="0.25">
      <c r="A2" s="11"/>
      <c r="B2" s="12"/>
      <c r="C2" s="12"/>
      <c r="D2" s="12"/>
      <c r="E2" s="12"/>
      <c r="H2" s="79" t="s">
        <v>34</v>
      </c>
      <c r="I2" s="79"/>
      <c r="J2" s="5"/>
      <c r="K2" s="5"/>
      <c r="L2" s="5"/>
      <c r="M2" s="5"/>
      <c r="N2" s="5"/>
      <c r="O2" s="13"/>
      <c r="P2" s="14"/>
    </row>
    <row r="3" spans="1:16" ht="18.75" thickBot="1" x14ac:dyDescent="0.3">
      <c r="A3" s="15"/>
      <c r="B3" s="16"/>
      <c r="C3" s="16"/>
      <c r="D3" s="16"/>
      <c r="E3" s="16"/>
      <c r="F3" s="16"/>
      <c r="G3" s="16"/>
      <c r="H3" s="80" t="s">
        <v>35</v>
      </c>
      <c r="I3" s="80"/>
      <c r="J3" s="6"/>
      <c r="K3" s="6"/>
      <c r="L3" s="6"/>
      <c r="M3" s="6"/>
      <c r="N3" s="6"/>
      <c r="O3" s="17"/>
    </row>
    <row r="4" spans="1:16" ht="48" customHeight="1" thickBot="1" x14ac:dyDescent="0.3">
      <c r="A4" s="18" t="s">
        <v>2</v>
      </c>
      <c r="B4" s="18" t="s">
        <v>36</v>
      </c>
      <c r="C4" s="18" t="s">
        <v>37</v>
      </c>
      <c r="D4" s="19" t="s">
        <v>9</v>
      </c>
      <c r="E4" s="18" t="s">
        <v>0</v>
      </c>
      <c r="F4" s="18" t="s">
        <v>3</v>
      </c>
      <c r="G4" s="20" t="s">
        <v>4</v>
      </c>
      <c r="H4" s="20" t="s">
        <v>5</v>
      </c>
      <c r="I4" s="20" t="s">
        <v>6</v>
      </c>
      <c r="J4" s="20" t="s">
        <v>17</v>
      </c>
      <c r="K4" s="21" t="s">
        <v>16</v>
      </c>
      <c r="L4" s="20" t="s">
        <v>18</v>
      </c>
      <c r="M4" s="22" t="s">
        <v>19</v>
      </c>
      <c r="N4" s="22" t="s">
        <v>20</v>
      </c>
      <c r="O4" s="20" t="s">
        <v>7</v>
      </c>
      <c r="P4" s="23"/>
    </row>
    <row r="5" spans="1:16" ht="15" customHeight="1" thickBot="1" x14ac:dyDescent="0.3">
      <c r="A5" s="24"/>
      <c r="B5" s="25"/>
      <c r="C5" s="25"/>
      <c r="D5" s="26" t="s">
        <v>13</v>
      </c>
      <c r="E5" s="27" t="s">
        <v>14</v>
      </c>
      <c r="F5" s="25"/>
      <c r="G5" s="28"/>
      <c r="H5" s="28"/>
      <c r="I5" s="28"/>
      <c r="J5" s="25"/>
      <c r="K5" s="28"/>
      <c r="L5" s="25"/>
      <c r="M5" s="28"/>
      <c r="N5" s="25"/>
      <c r="O5" s="29">
        <f>SUM(N7:N15)</f>
        <v>0</v>
      </c>
      <c r="P5" s="23"/>
    </row>
    <row r="6" spans="1:16" ht="15" customHeight="1" thickBot="1" x14ac:dyDescent="0.3">
      <c r="A6" s="30"/>
      <c r="B6" s="31"/>
      <c r="C6" s="32"/>
      <c r="D6" s="33"/>
      <c r="E6" s="34"/>
      <c r="F6" s="35"/>
      <c r="G6" s="36"/>
      <c r="H6" s="37"/>
      <c r="I6" s="38"/>
      <c r="J6" s="39"/>
      <c r="K6" s="40"/>
      <c r="L6" s="39"/>
      <c r="M6" s="40"/>
      <c r="N6" s="40"/>
      <c r="O6" s="41"/>
      <c r="P6" s="23"/>
    </row>
    <row r="7" spans="1:16" ht="15" customHeight="1" thickBot="1" x14ac:dyDescent="0.3">
      <c r="A7" s="42">
        <f>IF(H7&lt;&gt;"",1+MAX($A$5:A6),"")</f>
        <v>1</v>
      </c>
      <c r="B7" s="31"/>
      <c r="C7" s="32"/>
      <c r="D7" s="33"/>
      <c r="E7" s="34" t="s">
        <v>21</v>
      </c>
      <c r="F7" s="35">
        <v>1</v>
      </c>
      <c r="G7" s="36">
        <v>0</v>
      </c>
      <c r="H7" s="37">
        <f t="shared" ref="H7" si="0">F7*(1+G7)</f>
        <v>1</v>
      </c>
      <c r="I7" s="38" t="s">
        <v>15</v>
      </c>
      <c r="J7" s="39">
        <v>0</v>
      </c>
      <c r="K7" s="40">
        <f>J7*H7</f>
        <v>0</v>
      </c>
      <c r="L7" s="39">
        <v>0</v>
      </c>
      <c r="M7" s="40">
        <f>H7*L7</f>
        <v>0</v>
      </c>
      <c r="N7" s="40">
        <f>M7+K7</f>
        <v>0</v>
      </c>
      <c r="O7" s="41"/>
      <c r="P7" s="23"/>
    </row>
    <row r="8" spans="1:16" ht="15" customHeight="1" thickBot="1" x14ac:dyDescent="0.3">
      <c r="A8" s="42">
        <f>IF(H8&lt;&gt;"",1+MAX($A$5:A7),"")</f>
        <v>2</v>
      </c>
      <c r="B8" s="31"/>
      <c r="C8" s="32"/>
      <c r="D8" s="33"/>
      <c r="E8" s="34" t="s">
        <v>22</v>
      </c>
      <c r="F8" s="35">
        <v>1</v>
      </c>
      <c r="G8" s="36">
        <v>0</v>
      </c>
      <c r="H8" s="37">
        <f t="shared" ref="H8:H13" si="1">F8*(1+G8)</f>
        <v>1</v>
      </c>
      <c r="I8" s="38" t="s">
        <v>15</v>
      </c>
      <c r="J8" s="39">
        <v>0</v>
      </c>
      <c r="K8" s="40">
        <f t="shared" ref="K8:K13" si="2">J8*H8</f>
        <v>0</v>
      </c>
      <c r="L8" s="39">
        <v>0</v>
      </c>
      <c r="M8" s="40">
        <f t="shared" ref="M8:M13" si="3">H8*L8</f>
        <v>0</v>
      </c>
      <c r="N8" s="40">
        <f t="shared" ref="N8:N13" si="4">M8+K8</f>
        <v>0</v>
      </c>
      <c r="O8" s="41"/>
      <c r="P8" s="23"/>
    </row>
    <row r="9" spans="1:16" ht="15" customHeight="1" thickBot="1" x14ac:dyDescent="0.3">
      <c r="A9" s="42">
        <f>IF(H9&lt;&gt;"",1+MAX($A$5:A8),"")</f>
        <v>3</v>
      </c>
      <c r="B9" s="31"/>
      <c r="C9" s="32"/>
      <c r="D9" s="33"/>
      <c r="E9" s="34" t="s">
        <v>23</v>
      </c>
      <c r="F9" s="35">
        <v>1</v>
      </c>
      <c r="G9" s="36">
        <v>0</v>
      </c>
      <c r="H9" s="37">
        <f t="shared" si="1"/>
        <v>1</v>
      </c>
      <c r="I9" s="38" t="s">
        <v>15</v>
      </c>
      <c r="J9" s="39">
        <v>0</v>
      </c>
      <c r="K9" s="40">
        <f t="shared" si="2"/>
        <v>0</v>
      </c>
      <c r="L9" s="39">
        <v>0</v>
      </c>
      <c r="M9" s="40">
        <f t="shared" si="3"/>
        <v>0</v>
      </c>
      <c r="N9" s="40">
        <f t="shared" si="4"/>
        <v>0</v>
      </c>
      <c r="O9" s="41"/>
      <c r="P9" s="23"/>
    </row>
    <row r="10" spans="1:16" ht="15" customHeight="1" thickBot="1" x14ac:dyDescent="0.3">
      <c r="A10" s="42">
        <f>IF(H10&lt;&gt;"",1+MAX($A$5:A9),"")</f>
        <v>4</v>
      </c>
      <c r="B10" s="31"/>
      <c r="C10" s="32"/>
      <c r="D10" s="33"/>
      <c r="E10" s="34" t="s">
        <v>24</v>
      </c>
      <c r="F10" s="35">
        <v>1</v>
      </c>
      <c r="G10" s="36">
        <v>0</v>
      </c>
      <c r="H10" s="37">
        <f t="shared" si="1"/>
        <v>1</v>
      </c>
      <c r="I10" s="38" t="s">
        <v>15</v>
      </c>
      <c r="J10" s="39">
        <v>0</v>
      </c>
      <c r="K10" s="40">
        <f t="shared" si="2"/>
        <v>0</v>
      </c>
      <c r="L10" s="39">
        <v>0</v>
      </c>
      <c r="M10" s="40">
        <f t="shared" si="3"/>
        <v>0</v>
      </c>
      <c r="N10" s="40">
        <f t="shared" si="4"/>
        <v>0</v>
      </c>
      <c r="O10" s="41"/>
      <c r="P10" s="23"/>
    </row>
    <row r="11" spans="1:16" ht="15" customHeight="1" thickBot="1" x14ac:dyDescent="0.3">
      <c r="A11" s="42">
        <f>IF(H11&lt;&gt;"",1+MAX($A$5:A10),"")</f>
        <v>5</v>
      </c>
      <c r="B11" s="31"/>
      <c r="C11" s="32"/>
      <c r="D11" s="33"/>
      <c r="E11" s="34" t="s">
        <v>28</v>
      </c>
      <c r="F11" s="35">
        <v>1</v>
      </c>
      <c r="G11" s="36">
        <v>0</v>
      </c>
      <c r="H11" s="37">
        <f t="shared" si="1"/>
        <v>1</v>
      </c>
      <c r="I11" s="38" t="s">
        <v>15</v>
      </c>
      <c r="J11" s="39">
        <v>0</v>
      </c>
      <c r="K11" s="40">
        <f t="shared" si="2"/>
        <v>0</v>
      </c>
      <c r="L11" s="39">
        <v>0</v>
      </c>
      <c r="M11" s="40">
        <f t="shared" si="3"/>
        <v>0</v>
      </c>
      <c r="N11" s="40">
        <f t="shared" si="4"/>
        <v>0</v>
      </c>
      <c r="O11" s="41"/>
      <c r="P11" s="23"/>
    </row>
    <row r="12" spans="1:16" ht="15" customHeight="1" thickBot="1" x14ac:dyDescent="0.3">
      <c r="A12" s="42">
        <f>IF(H12&lt;&gt;"",1+MAX($A$5:A11),"")</f>
        <v>6</v>
      </c>
      <c r="B12" s="31"/>
      <c r="C12" s="32"/>
      <c r="D12" s="33"/>
      <c r="E12" s="34" t="s">
        <v>25</v>
      </c>
      <c r="F12" s="35">
        <v>1</v>
      </c>
      <c r="G12" s="36">
        <v>0</v>
      </c>
      <c r="H12" s="37">
        <f t="shared" si="1"/>
        <v>1</v>
      </c>
      <c r="I12" s="38" t="s">
        <v>15</v>
      </c>
      <c r="J12" s="39">
        <v>0</v>
      </c>
      <c r="K12" s="40">
        <f t="shared" si="2"/>
        <v>0</v>
      </c>
      <c r="L12" s="39">
        <v>0</v>
      </c>
      <c r="M12" s="40">
        <f t="shared" si="3"/>
        <v>0</v>
      </c>
      <c r="N12" s="40">
        <f t="shared" si="4"/>
        <v>0</v>
      </c>
      <c r="O12" s="41"/>
      <c r="P12" s="23"/>
    </row>
    <row r="13" spans="1:16" ht="15" customHeight="1" thickBot="1" x14ac:dyDescent="0.3">
      <c r="A13" s="42">
        <f>IF(H13&lt;&gt;"",1+MAX($A$5:A12),"")</f>
        <v>7</v>
      </c>
      <c r="B13" s="31"/>
      <c r="C13" s="32"/>
      <c r="D13" s="33"/>
      <c r="E13" s="34" t="s">
        <v>26</v>
      </c>
      <c r="F13" s="35">
        <v>1</v>
      </c>
      <c r="G13" s="36">
        <v>0</v>
      </c>
      <c r="H13" s="37">
        <f t="shared" si="1"/>
        <v>1</v>
      </c>
      <c r="I13" s="38" t="s">
        <v>15</v>
      </c>
      <c r="J13" s="39">
        <v>0</v>
      </c>
      <c r="K13" s="40">
        <f t="shared" si="2"/>
        <v>0</v>
      </c>
      <c r="L13" s="39">
        <v>0</v>
      </c>
      <c r="M13" s="40">
        <f t="shared" si="3"/>
        <v>0</v>
      </c>
      <c r="N13" s="40">
        <f t="shared" si="4"/>
        <v>0</v>
      </c>
      <c r="O13" s="41"/>
      <c r="P13" s="23"/>
    </row>
    <row r="14" spans="1:16" ht="15" customHeight="1" thickBot="1" x14ac:dyDescent="0.3">
      <c r="A14" s="42">
        <f>IF(H14&lt;&gt;"",1+MAX($A$5:A13),"")</f>
        <v>8</v>
      </c>
      <c r="B14" s="31"/>
      <c r="C14" s="32"/>
      <c r="D14" s="33"/>
      <c r="E14" s="34" t="s">
        <v>27</v>
      </c>
      <c r="F14" s="35">
        <v>1</v>
      </c>
      <c r="G14" s="36">
        <v>0</v>
      </c>
      <c r="H14" s="37">
        <f t="shared" ref="H14" si="5">F14*(1+G14)</f>
        <v>1</v>
      </c>
      <c r="I14" s="38" t="s">
        <v>15</v>
      </c>
      <c r="J14" s="39">
        <v>0</v>
      </c>
      <c r="K14" s="40">
        <f t="shared" ref="K14" si="6">J14*H14</f>
        <v>0</v>
      </c>
      <c r="L14" s="39">
        <v>0</v>
      </c>
      <c r="M14" s="40">
        <f t="shared" ref="M14" si="7">H14*L14</f>
        <v>0</v>
      </c>
      <c r="N14" s="40">
        <f t="shared" ref="N14" si="8">M14+K14</f>
        <v>0</v>
      </c>
      <c r="O14" s="41"/>
      <c r="P14" s="23"/>
    </row>
    <row r="15" spans="1:16" ht="15" customHeight="1" thickBot="1" x14ac:dyDescent="0.3">
      <c r="A15" s="42" t="str">
        <f>IF(H15&lt;&gt;"",1+MAX($A$5:A14),"")</f>
        <v/>
      </c>
      <c r="B15" s="31"/>
      <c r="C15" s="32"/>
      <c r="D15" s="33"/>
      <c r="E15" s="34"/>
      <c r="F15" s="35"/>
      <c r="G15" s="36"/>
      <c r="H15" s="37"/>
      <c r="I15" s="38"/>
      <c r="J15" s="39"/>
      <c r="K15" s="40"/>
      <c r="L15" s="39"/>
      <c r="M15" s="40"/>
      <c r="N15" s="40"/>
      <c r="O15" s="41"/>
      <c r="P15" s="23"/>
    </row>
    <row r="16" spans="1:16" ht="15" customHeight="1" thickBot="1" x14ac:dyDescent="0.3">
      <c r="A16" s="42" t="str">
        <f>IF(H16&lt;&gt;"",1+MAX($A$5:A15),"")</f>
        <v/>
      </c>
      <c r="B16" s="25"/>
      <c r="C16" s="25"/>
      <c r="D16" s="26" t="s">
        <v>12</v>
      </c>
      <c r="E16" s="27" t="s">
        <v>11</v>
      </c>
      <c r="F16" s="25"/>
      <c r="G16" s="28"/>
      <c r="H16" s="28"/>
      <c r="I16" s="28"/>
      <c r="J16" s="25"/>
      <c r="K16" s="28"/>
      <c r="L16" s="25"/>
      <c r="M16" s="28"/>
      <c r="N16" s="25"/>
      <c r="O16" s="29">
        <f>SUM(N17:N89)</f>
        <v>0</v>
      </c>
      <c r="P16" s="23"/>
    </row>
    <row r="17" spans="1:16" ht="15" customHeight="1" thickBot="1" x14ac:dyDescent="0.3">
      <c r="A17" s="42" t="str">
        <f>IF(H17&lt;&gt;"",1+MAX($A$5:A16),"")</f>
        <v/>
      </c>
      <c r="B17" s="31"/>
      <c r="C17" s="32"/>
      <c r="D17" s="33"/>
      <c r="E17" s="34"/>
      <c r="F17" s="35"/>
      <c r="G17" s="36"/>
      <c r="H17" s="37"/>
      <c r="I17" s="38"/>
      <c r="J17" s="39"/>
      <c r="K17" s="40"/>
      <c r="L17" s="39"/>
      <c r="M17" s="40"/>
      <c r="N17" s="40"/>
      <c r="O17" s="41"/>
      <c r="P17" s="23"/>
    </row>
    <row r="18" spans="1:16" ht="15" customHeight="1" thickBot="1" x14ac:dyDescent="0.3">
      <c r="A18" s="42" t="str">
        <f>IF(H18&lt;&gt;"",1+MAX($A$5:A17),"")</f>
        <v/>
      </c>
      <c r="B18" s="84" t="s">
        <v>106</v>
      </c>
      <c r="C18" s="84" t="s">
        <v>107</v>
      </c>
      <c r="D18" s="73"/>
      <c r="E18" s="74" t="s">
        <v>38</v>
      </c>
      <c r="F18" s="35">
        <v>62.59</v>
      </c>
      <c r="G18" s="36"/>
      <c r="H18" s="37"/>
      <c r="I18" s="38" t="s">
        <v>47</v>
      </c>
      <c r="J18" s="39"/>
      <c r="K18" s="40"/>
      <c r="L18" s="39"/>
      <c r="M18" s="40"/>
      <c r="N18" s="40"/>
      <c r="O18" s="41"/>
      <c r="P18" s="23"/>
    </row>
    <row r="19" spans="1:16" ht="15" customHeight="1" thickBot="1" x14ac:dyDescent="0.3">
      <c r="A19" s="42"/>
      <c r="B19" s="84"/>
      <c r="C19" s="84"/>
      <c r="D19" s="33"/>
      <c r="E19" s="34" t="s">
        <v>105</v>
      </c>
      <c r="F19" s="35">
        <f>3.34*F18</f>
        <v>209.0506</v>
      </c>
      <c r="G19" s="36">
        <v>0.1</v>
      </c>
      <c r="H19" s="37">
        <f t="shared" ref="H19" si="9">F19*(1+G19)</f>
        <v>229.95566000000002</v>
      </c>
      <c r="I19" s="38" t="s">
        <v>48</v>
      </c>
      <c r="J19" s="39">
        <v>0</v>
      </c>
      <c r="K19" s="40">
        <f t="shared" ref="K19" si="10">J19*H19</f>
        <v>0</v>
      </c>
      <c r="L19" s="39">
        <v>0</v>
      </c>
      <c r="M19" s="40">
        <f t="shared" ref="M19" si="11">H19*L19</f>
        <v>0</v>
      </c>
      <c r="N19" s="40">
        <f t="shared" ref="N19" si="12">M19+K19</f>
        <v>0</v>
      </c>
      <c r="O19" s="41"/>
      <c r="P19" s="23"/>
    </row>
    <row r="20" spans="1:16" ht="15" customHeight="1" thickBot="1" x14ac:dyDescent="0.3">
      <c r="A20" s="42">
        <f>IF(H20&lt;&gt;"",1+MAX($A$5:A18),"")</f>
        <v>9</v>
      </c>
      <c r="B20" s="84"/>
      <c r="C20" s="84"/>
      <c r="D20" s="33"/>
      <c r="E20" s="34" t="s">
        <v>49</v>
      </c>
      <c r="F20" s="35">
        <f>2.34*1*F18/27</f>
        <v>5.4244666666666665</v>
      </c>
      <c r="G20" s="36">
        <v>0.1</v>
      </c>
      <c r="H20" s="37">
        <f t="shared" ref="H20:H25" si="13">F20*(1+G20)</f>
        <v>5.9669133333333333</v>
      </c>
      <c r="I20" s="38" t="s">
        <v>55</v>
      </c>
      <c r="J20" s="39">
        <v>0</v>
      </c>
      <c r="K20" s="40">
        <f t="shared" ref="K20:K25" si="14">J20*H20</f>
        <v>0</v>
      </c>
      <c r="L20" s="39">
        <v>0</v>
      </c>
      <c r="M20" s="40">
        <f t="shared" ref="M20:M25" si="15">H20*L20</f>
        <v>0</v>
      </c>
      <c r="N20" s="40">
        <f t="shared" ref="N20:N25" si="16">M20+K20</f>
        <v>0</v>
      </c>
      <c r="O20" s="41"/>
      <c r="P20" s="23"/>
    </row>
    <row r="21" spans="1:16" ht="15" customHeight="1" thickBot="1" x14ac:dyDescent="0.3">
      <c r="A21" s="42">
        <f>IF(H21&lt;&gt;"",1+MAX($A$5:A20),"")</f>
        <v>10</v>
      </c>
      <c r="B21" s="84"/>
      <c r="C21" s="84"/>
      <c r="D21" s="33"/>
      <c r="E21" s="34" t="s">
        <v>50</v>
      </c>
      <c r="F21" s="35">
        <f>4*F18</f>
        <v>250.36</v>
      </c>
      <c r="G21" s="36">
        <v>0.1</v>
      </c>
      <c r="H21" s="37">
        <f t="shared" si="13"/>
        <v>275.39600000000002</v>
      </c>
      <c r="I21" s="38" t="s">
        <v>47</v>
      </c>
      <c r="J21" s="39">
        <v>0</v>
      </c>
      <c r="K21" s="40">
        <f t="shared" si="14"/>
        <v>0</v>
      </c>
      <c r="L21" s="39">
        <v>0</v>
      </c>
      <c r="M21" s="40">
        <f t="shared" si="15"/>
        <v>0</v>
      </c>
      <c r="N21" s="40">
        <f t="shared" si="16"/>
        <v>0</v>
      </c>
      <c r="O21" s="41"/>
      <c r="P21" s="23"/>
    </row>
    <row r="22" spans="1:16" ht="15" customHeight="1" thickBot="1" x14ac:dyDescent="0.3">
      <c r="A22" s="42">
        <f>IF(H22&lt;&gt;"",1+MAX($A$5:A21),"")</f>
        <v>11</v>
      </c>
      <c r="B22" s="84"/>
      <c r="C22" s="84"/>
      <c r="D22" s="33"/>
      <c r="E22" s="34" t="s">
        <v>51</v>
      </c>
      <c r="F22" s="35">
        <f>2*(1+F18)</f>
        <v>127.18</v>
      </c>
      <c r="G22" s="36">
        <v>0.1</v>
      </c>
      <c r="H22" s="37">
        <f t="shared" si="13"/>
        <v>139.89800000000002</v>
      </c>
      <c r="I22" s="38" t="s">
        <v>47</v>
      </c>
      <c r="J22" s="39">
        <v>0</v>
      </c>
      <c r="K22" s="40">
        <f t="shared" si="14"/>
        <v>0</v>
      </c>
      <c r="L22" s="39">
        <v>0</v>
      </c>
      <c r="M22" s="40">
        <f t="shared" si="15"/>
        <v>0</v>
      </c>
      <c r="N22" s="40">
        <f t="shared" si="16"/>
        <v>0</v>
      </c>
      <c r="O22" s="41"/>
      <c r="P22" s="23"/>
    </row>
    <row r="23" spans="1:16" ht="15" customHeight="1" thickBot="1" x14ac:dyDescent="0.3">
      <c r="A23" s="42">
        <f>IF(H23&lt;&gt;"",1+MAX($A$5:A22),"")</f>
        <v>12</v>
      </c>
      <c r="B23" s="84"/>
      <c r="C23" s="84"/>
      <c r="D23" s="33"/>
      <c r="E23" s="34" t="s">
        <v>52</v>
      </c>
      <c r="F23" s="35">
        <f>(F18*4/0.67)+F18/1.34</f>
        <v>420.38059701492534</v>
      </c>
      <c r="G23" s="36">
        <v>0.1</v>
      </c>
      <c r="H23" s="37">
        <f t="shared" si="13"/>
        <v>462.4186567164179</v>
      </c>
      <c r="I23" s="38" t="s">
        <v>46</v>
      </c>
      <c r="J23" s="39">
        <v>0</v>
      </c>
      <c r="K23" s="40">
        <f t="shared" si="14"/>
        <v>0</v>
      </c>
      <c r="L23" s="39">
        <v>0</v>
      </c>
      <c r="M23" s="40">
        <f t="shared" si="15"/>
        <v>0</v>
      </c>
      <c r="N23" s="40">
        <f t="shared" si="16"/>
        <v>0</v>
      </c>
      <c r="O23" s="41"/>
      <c r="P23" s="23"/>
    </row>
    <row r="24" spans="1:16" ht="15" customHeight="1" thickBot="1" x14ac:dyDescent="0.3">
      <c r="A24" s="42">
        <f>IF(H24&lt;&gt;"",1+MAX($A$5:A23),"")</f>
        <v>13</v>
      </c>
      <c r="B24" s="84"/>
      <c r="C24" s="84"/>
      <c r="D24" s="33"/>
      <c r="E24" s="34" t="s">
        <v>53</v>
      </c>
      <c r="F24" s="35">
        <f>0.23*F18/27</f>
        <v>0.53317407407407413</v>
      </c>
      <c r="G24" s="36">
        <v>0.1</v>
      </c>
      <c r="H24" s="37">
        <f t="shared" si="13"/>
        <v>0.58649148148148156</v>
      </c>
      <c r="I24" s="38" t="s">
        <v>55</v>
      </c>
      <c r="J24" s="39">
        <v>0</v>
      </c>
      <c r="K24" s="40">
        <f t="shared" si="14"/>
        <v>0</v>
      </c>
      <c r="L24" s="39">
        <v>0</v>
      </c>
      <c r="M24" s="40">
        <f t="shared" si="15"/>
        <v>0</v>
      </c>
      <c r="N24" s="40">
        <f t="shared" si="16"/>
        <v>0</v>
      </c>
      <c r="O24" s="41"/>
      <c r="P24" s="23"/>
    </row>
    <row r="25" spans="1:16" ht="15" customHeight="1" thickBot="1" x14ac:dyDescent="0.3">
      <c r="A25" s="42">
        <f>IF(H25&lt;&gt;"",1+MAX($A$5:A24),"")</f>
        <v>14</v>
      </c>
      <c r="B25" s="84"/>
      <c r="C25" s="84"/>
      <c r="D25" s="33"/>
      <c r="E25" s="34" t="s">
        <v>54</v>
      </c>
      <c r="F25" s="35">
        <f>4.55*F18/2</f>
        <v>142.39224999999999</v>
      </c>
      <c r="G25" s="36">
        <v>0.1</v>
      </c>
      <c r="H25" s="37">
        <f t="shared" si="13"/>
        <v>156.63147499999999</v>
      </c>
      <c r="I25" s="38" t="s">
        <v>47</v>
      </c>
      <c r="J25" s="39">
        <v>0</v>
      </c>
      <c r="K25" s="40">
        <f t="shared" si="14"/>
        <v>0</v>
      </c>
      <c r="L25" s="39">
        <v>0</v>
      </c>
      <c r="M25" s="40">
        <f t="shared" si="15"/>
        <v>0</v>
      </c>
      <c r="N25" s="40">
        <f t="shared" si="16"/>
        <v>0</v>
      </c>
      <c r="O25" s="41"/>
      <c r="P25" s="23"/>
    </row>
    <row r="26" spans="1:16" ht="15" customHeight="1" thickBot="1" x14ac:dyDescent="0.3">
      <c r="A26" s="42" t="str">
        <f>IF(H26&lt;&gt;"",1+MAX($A$5:A25),"")</f>
        <v/>
      </c>
      <c r="B26" s="84"/>
      <c r="C26" s="84"/>
      <c r="D26" s="33"/>
      <c r="E26" s="34"/>
      <c r="F26" s="35"/>
      <c r="G26" s="36"/>
      <c r="H26" s="37"/>
      <c r="I26" s="38"/>
      <c r="J26" s="39"/>
      <c r="K26" s="40"/>
      <c r="L26" s="39"/>
      <c r="M26" s="40"/>
      <c r="N26" s="40"/>
      <c r="O26" s="41"/>
      <c r="P26" s="23"/>
    </row>
    <row r="27" spans="1:16" ht="15" customHeight="1" thickBot="1" x14ac:dyDescent="0.3">
      <c r="A27" s="42" t="str">
        <f>IF(H27&lt;&gt;"",1+MAX($A$5:A26),"")</f>
        <v/>
      </c>
      <c r="B27" s="84"/>
      <c r="C27" s="84"/>
      <c r="D27" s="73"/>
      <c r="E27" s="74" t="s">
        <v>39</v>
      </c>
      <c r="F27" s="35">
        <f>8.07+3.31</f>
        <v>11.38</v>
      </c>
      <c r="G27" s="36"/>
      <c r="H27" s="37"/>
      <c r="I27" s="38" t="s">
        <v>47</v>
      </c>
      <c r="J27" s="39"/>
      <c r="K27" s="40"/>
      <c r="L27" s="39"/>
      <c r="M27" s="40"/>
      <c r="N27" s="40"/>
      <c r="O27" s="41"/>
      <c r="P27" s="23"/>
    </row>
    <row r="28" spans="1:16" ht="15" customHeight="1" thickBot="1" x14ac:dyDescent="0.3">
      <c r="A28" s="42"/>
      <c r="B28" s="84"/>
      <c r="C28" s="84"/>
      <c r="D28" s="33"/>
      <c r="E28" s="34" t="s">
        <v>105</v>
      </c>
      <c r="F28" s="35">
        <f>3.34*F27</f>
        <v>38.0092</v>
      </c>
      <c r="G28" s="36">
        <v>0.1</v>
      </c>
      <c r="H28" s="37">
        <f t="shared" ref="H28" si="17">F28*(1+G28)</f>
        <v>41.810120000000005</v>
      </c>
      <c r="I28" s="38" t="s">
        <v>48</v>
      </c>
      <c r="J28" s="39">
        <v>0</v>
      </c>
      <c r="K28" s="40">
        <f t="shared" ref="K28" si="18">J28*H28</f>
        <v>0</v>
      </c>
      <c r="L28" s="39">
        <v>0</v>
      </c>
      <c r="M28" s="40">
        <f t="shared" ref="M28" si="19">H28*L28</f>
        <v>0</v>
      </c>
      <c r="N28" s="40">
        <f t="shared" ref="N28" si="20">M28+K28</f>
        <v>0</v>
      </c>
      <c r="O28" s="41"/>
      <c r="P28" s="23"/>
    </row>
    <row r="29" spans="1:16" ht="15" customHeight="1" thickBot="1" x14ac:dyDescent="0.3">
      <c r="A29" s="42">
        <f>IF(H29&lt;&gt;"",1+MAX($A$5:A27),"")</f>
        <v>15</v>
      </c>
      <c r="B29" s="84"/>
      <c r="C29" s="84"/>
      <c r="D29" s="33"/>
      <c r="E29" s="34" t="s">
        <v>49</v>
      </c>
      <c r="F29" s="35">
        <f>2.34*1*F27/27</f>
        <v>0.98626666666666674</v>
      </c>
      <c r="G29" s="36">
        <v>0.1</v>
      </c>
      <c r="H29" s="37">
        <f t="shared" ref="H29:H33" si="21">F29*(1+G29)</f>
        <v>1.0848933333333335</v>
      </c>
      <c r="I29" s="38" t="s">
        <v>55</v>
      </c>
      <c r="J29" s="39">
        <v>0</v>
      </c>
      <c r="K29" s="40">
        <f t="shared" ref="K29:K33" si="22">J29*H29</f>
        <v>0</v>
      </c>
      <c r="L29" s="39">
        <v>0</v>
      </c>
      <c r="M29" s="40">
        <f t="shared" ref="M29:M33" si="23">H29*L29</f>
        <v>0</v>
      </c>
      <c r="N29" s="40">
        <f t="shared" ref="N29:N33" si="24">M29+K29</f>
        <v>0</v>
      </c>
      <c r="O29" s="41"/>
      <c r="P29" s="23"/>
    </row>
    <row r="30" spans="1:16" ht="15" customHeight="1" thickBot="1" x14ac:dyDescent="0.3">
      <c r="A30" s="42">
        <f>IF(H30&lt;&gt;"",1+MAX($A$5:A29),"")</f>
        <v>16</v>
      </c>
      <c r="B30" s="84"/>
      <c r="C30" s="84"/>
      <c r="D30" s="33"/>
      <c r="E30" s="34" t="s">
        <v>50</v>
      </c>
      <c r="F30" s="35">
        <f>4*F27</f>
        <v>45.52</v>
      </c>
      <c r="G30" s="36">
        <v>0.1</v>
      </c>
      <c r="H30" s="37">
        <f t="shared" si="21"/>
        <v>50.07200000000001</v>
      </c>
      <c r="I30" s="38" t="s">
        <v>47</v>
      </c>
      <c r="J30" s="39">
        <v>0</v>
      </c>
      <c r="K30" s="40">
        <f t="shared" si="22"/>
        <v>0</v>
      </c>
      <c r="L30" s="39">
        <v>0</v>
      </c>
      <c r="M30" s="40">
        <f t="shared" si="23"/>
        <v>0</v>
      </c>
      <c r="N30" s="40">
        <f t="shared" si="24"/>
        <v>0</v>
      </c>
      <c r="O30" s="41"/>
      <c r="P30" s="23"/>
    </row>
    <row r="31" spans="1:16" ht="15" customHeight="1" thickBot="1" x14ac:dyDescent="0.3">
      <c r="A31" s="42">
        <f>IF(H31&lt;&gt;"",1+MAX($A$5:A30),"")</f>
        <v>17</v>
      </c>
      <c r="B31" s="84"/>
      <c r="C31" s="84"/>
      <c r="D31" s="33"/>
      <c r="E31" s="34" t="s">
        <v>51</v>
      </c>
      <c r="F31" s="35">
        <f>2*(1+F27)</f>
        <v>24.76</v>
      </c>
      <c r="G31" s="36">
        <v>0.1</v>
      </c>
      <c r="H31" s="37">
        <f t="shared" si="21"/>
        <v>27.236000000000004</v>
      </c>
      <c r="I31" s="38" t="s">
        <v>47</v>
      </c>
      <c r="J31" s="39">
        <v>0</v>
      </c>
      <c r="K31" s="40">
        <f t="shared" si="22"/>
        <v>0</v>
      </c>
      <c r="L31" s="39">
        <v>0</v>
      </c>
      <c r="M31" s="40">
        <f t="shared" si="23"/>
        <v>0</v>
      </c>
      <c r="N31" s="40">
        <f t="shared" si="24"/>
        <v>0</v>
      </c>
      <c r="O31" s="41"/>
      <c r="P31" s="23"/>
    </row>
    <row r="32" spans="1:16" ht="15" customHeight="1" thickBot="1" x14ac:dyDescent="0.3">
      <c r="A32" s="42">
        <f>IF(H32&lt;&gt;"",1+MAX($A$5:A31),"")</f>
        <v>18</v>
      </c>
      <c r="B32" s="84"/>
      <c r="C32" s="84"/>
      <c r="D32" s="33"/>
      <c r="E32" s="34" t="s">
        <v>52</v>
      </c>
      <c r="F32" s="35">
        <f>(F27*4/0.67)</f>
        <v>67.940298507462686</v>
      </c>
      <c r="G32" s="36">
        <v>0.1</v>
      </c>
      <c r="H32" s="37">
        <f t="shared" si="21"/>
        <v>74.734328358208955</v>
      </c>
      <c r="I32" s="38" t="s">
        <v>46</v>
      </c>
      <c r="J32" s="39">
        <v>0</v>
      </c>
      <c r="K32" s="40">
        <f t="shared" si="22"/>
        <v>0</v>
      </c>
      <c r="L32" s="39">
        <v>0</v>
      </c>
      <c r="M32" s="40">
        <f t="shared" si="23"/>
        <v>0</v>
      </c>
      <c r="N32" s="40">
        <f t="shared" si="24"/>
        <v>0</v>
      </c>
      <c r="O32" s="41"/>
      <c r="P32" s="23"/>
    </row>
    <row r="33" spans="1:16" ht="15" customHeight="1" thickBot="1" x14ac:dyDescent="0.3">
      <c r="A33" s="42">
        <f>IF(H33&lt;&gt;"",1+MAX($A$5:A32),"")</f>
        <v>19</v>
      </c>
      <c r="B33" s="84"/>
      <c r="C33" s="84"/>
      <c r="D33" s="33"/>
      <c r="E33" s="34" t="s">
        <v>54</v>
      </c>
      <c r="F33" s="35">
        <f>4.55*F27/2</f>
        <v>25.889500000000002</v>
      </c>
      <c r="G33" s="36">
        <v>0.1</v>
      </c>
      <c r="H33" s="37">
        <f t="shared" si="21"/>
        <v>28.478450000000006</v>
      </c>
      <c r="I33" s="38" t="s">
        <v>47</v>
      </c>
      <c r="J33" s="39">
        <v>0</v>
      </c>
      <c r="K33" s="40">
        <f t="shared" si="22"/>
        <v>0</v>
      </c>
      <c r="L33" s="39">
        <v>0</v>
      </c>
      <c r="M33" s="40">
        <f t="shared" si="23"/>
        <v>0</v>
      </c>
      <c r="N33" s="40">
        <f t="shared" si="24"/>
        <v>0</v>
      </c>
      <c r="O33" s="41"/>
      <c r="P33" s="23"/>
    </row>
    <row r="34" spans="1:16" ht="15" customHeight="1" thickBot="1" x14ac:dyDescent="0.3">
      <c r="A34" s="42" t="str">
        <f>IF(H34&lt;&gt;"",1+MAX($A$5:A33),"")</f>
        <v/>
      </c>
      <c r="B34" s="84"/>
      <c r="C34" s="84"/>
      <c r="D34" s="33"/>
      <c r="E34" s="34"/>
      <c r="F34" s="35"/>
      <c r="G34" s="36"/>
      <c r="H34" s="37"/>
      <c r="I34" s="38"/>
      <c r="J34" s="39"/>
      <c r="K34" s="40"/>
      <c r="L34" s="39"/>
      <c r="M34" s="40"/>
      <c r="N34" s="40"/>
      <c r="O34" s="41"/>
      <c r="P34" s="23"/>
    </row>
    <row r="35" spans="1:16" ht="15" customHeight="1" thickBot="1" x14ac:dyDescent="0.3">
      <c r="A35" s="42" t="str">
        <f>IF(H35&lt;&gt;"",1+MAX($A$5:A34),"")</f>
        <v/>
      </c>
      <c r="B35" s="84"/>
      <c r="C35" s="84"/>
      <c r="D35" s="73"/>
      <c r="E35" s="74" t="s">
        <v>40</v>
      </c>
      <c r="F35" s="35">
        <v>138.86000000000001</v>
      </c>
      <c r="G35" s="36"/>
      <c r="H35" s="37"/>
      <c r="I35" s="38" t="s">
        <v>47</v>
      </c>
      <c r="J35" s="39"/>
      <c r="K35" s="40"/>
      <c r="L35" s="39"/>
      <c r="M35" s="40"/>
      <c r="N35" s="40"/>
      <c r="O35" s="41"/>
      <c r="P35" s="23"/>
    </row>
    <row r="36" spans="1:16" ht="15" customHeight="1" thickBot="1" x14ac:dyDescent="0.3">
      <c r="A36" s="42"/>
      <c r="B36" s="84"/>
      <c r="C36" s="84"/>
      <c r="D36" s="33"/>
      <c r="E36" s="34" t="s">
        <v>105</v>
      </c>
      <c r="F36" s="35">
        <f>5.25*F35</f>
        <v>729.0150000000001</v>
      </c>
      <c r="G36" s="36">
        <v>0.1</v>
      </c>
      <c r="H36" s="37">
        <f t="shared" ref="H36" si="25">F36*(1+G36)</f>
        <v>801.91650000000016</v>
      </c>
      <c r="I36" s="38" t="s">
        <v>48</v>
      </c>
      <c r="J36" s="39">
        <v>0</v>
      </c>
      <c r="K36" s="40">
        <f t="shared" ref="K36" si="26">J36*H36</f>
        <v>0</v>
      </c>
      <c r="L36" s="39">
        <v>0</v>
      </c>
      <c r="M36" s="40">
        <f t="shared" ref="M36" si="27">H36*L36</f>
        <v>0</v>
      </c>
      <c r="N36" s="40">
        <f t="shared" ref="N36" si="28">M36+K36</f>
        <v>0</v>
      </c>
      <c r="O36" s="41"/>
      <c r="P36" s="23"/>
    </row>
    <row r="37" spans="1:16" ht="15" customHeight="1" thickBot="1" x14ac:dyDescent="0.3">
      <c r="A37" s="42">
        <f>IF(H37&lt;&gt;"",1+MAX($A$5:A35),"")</f>
        <v>20</v>
      </c>
      <c r="B37" s="84"/>
      <c r="C37" s="84"/>
      <c r="D37" s="33"/>
      <c r="E37" s="34" t="s">
        <v>56</v>
      </c>
      <c r="F37" s="35">
        <f>4.83*1*F35/27</f>
        <v>24.840511111111116</v>
      </c>
      <c r="G37" s="36">
        <v>0.1</v>
      </c>
      <c r="H37" s="37">
        <f t="shared" ref="H37:H41" si="29">F37*(1+G37)</f>
        <v>27.32456222222223</v>
      </c>
      <c r="I37" s="38" t="s">
        <v>55</v>
      </c>
      <c r="J37" s="39">
        <v>0</v>
      </c>
      <c r="K37" s="40">
        <f t="shared" ref="K37:K41" si="30">J37*H37</f>
        <v>0</v>
      </c>
      <c r="L37" s="39">
        <v>0</v>
      </c>
      <c r="M37" s="40">
        <f t="shared" ref="M37:M41" si="31">H37*L37</f>
        <v>0</v>
      </c>
      <c r="N37" s="40">
        <f t="shared" ref="N37:N41" si="32">M37+K37</f>
        <v>0</v>
      </c>
      <c r="O37" s="41"/>
      <c r="P37" s="23"/>
    </row>
    <row r="38" spans="1:16" ht="15" customHeight="1" thickBot="1" x14ac:dyDescent="0.3">
      <c r="A38" s="42">
        <f>IF(H38&lt;&gt;"",1+MAX($A$5:A37),"")</f>
        <v>21</v>
      </c>
      <c r="B38" s="84"/>
      <c r="C38" s="84"/>
      <c r="D38" s="33"/>
      <c r="E38" s="34" t="s">
        <v>57</v>
      </c>
      <c r="F38" s="35">
        <f>6*F35</f>
        <v>833.16000000000008</v>
      </c>
      <c r="G38" s="36">
        <v>0.1</v>
      </c>
      <c r="H38" s="37">
        <f t="shared" si="29"/>
        <v>916.47600000000011</v>
      </c>
      <c r="I38" s="38" t="s">
        <v>47</v>
      </c>
      <c r="J38" s="39">
        <v>0</v>
      </c>
      <c r="K38" s="40">
        <f t="shared" si="30"/>
        <v>0</v>
      </c>
      <c r="L38" s="39">
        <v>0</v>
      </c>
      <c r="M38" s="40">
        <f t="shared" si="31"/>
        <v>0</v>
      </c>
      <c r="N38" s="40">
        <f t="shared" si="32"/>
        <v>0</v>
      </c>
      <c r="O38" s="41"/>
      <c r="P38" s="23"/>
    </row>
    <row r="39" spans="1:16" ht="15" customHeight="1" thickBot="1" x14ac:dyDescent="0.3">
      <c r="A39" s="42">
        <f>IF(H39&lt;&gt;"",1+MAX($A$5:A38),"")</f>
        <v>22</v>
      </c>
      <c r="B39" s="84"/>
      <c r="C39" s="84"/>
      <c r="D39" s="33"/>
      <c r="E39" s="34" t="s">
        <v>58</v>
      </c>
      <c r="F39" s="35">
        <f>4.5*(1+F35)</f>
        <v>629.37000000000012</v>
      </c>
      <c r="G39" s="36">
        <v>0.1</v>
      </c>
      <c r="H39" s="37">
        <f t="shared" si="29"/>
        <v>692.30700000000013</v>
      </c>
      <c r="I39" s="38" t="s">
        <v>47</v>
      </c>
      <c r="J39" s="39">
        <v>0</v>
      </c>
      <c r="K39" s="40">
        <f t="shared" si="30"/>
        <v>0</v>
      </c>
      <c r="L39" s="39">
        <v>0</v>
      </c>
      <c r="M39" s="40">
        <f t="shared" si="31"/>
        <v>0</v>
      </c>
      <c r="N39" s="40">
        <f t="shared" si="32"/>
        <v>0</v>
      </c>
      <c r="O39" s="41"/>
      <c r="P39" s="23"/>
    </row>
    <row r="40" spans="1:16" ht="15" customHeight="1" thickBot="1" x14ac:dyDescent="0.3">
      <c r="A40" s="42">
        <f>IF(H40&lt;&gt;"",1+MAX($A$5:A39),"")</f>
        <v>23</v>
      </c>
      <c r="B40" s="84"/>
      <c r="C40" s="84"/>
      <c r="D40" s="33"/>
      <c r="E40" s="34" t="s">
        <v>52</v>
      </c>
      <c r="F40" s="35">
        <f>(F35*7/0.67)</f>
        <v>1450.7761194029852</v>
      </c>
      <c r="G40" s="36">
        <v>0.1</v>
      </c>
      <c r="H40" s="37">
        <f t="shared" si="29"/>
        <v>1595.8537313432837</v>
      </c>
      <c r="I40" s="38" t="s">
        <v>46</v>
      </c>
      <c r="J40" s="39">
        <v>0</v>
      </c>
      <c r="K40" s="40">
        <f t="shared" si="30"/>
        <v>0</v>
      </c>
      <c r="L40" s="39">
        <v>0</v>
      </c>
      <c r="M40" s="40">
        <f t="shared" si="31"/>
        <v>0</v>
      </c>
      <c r="N40" s="40">
        <f t="shared" si="32"/>
        <v>0</v>
      </c>
      <c r="O40" s="41"/>
      <c r="P40" s="23"/>
    </row>
    <row r="41" spans="1:16" ht="15" customHeight="1" thickBot="1" x14ac:dyDescent="0.3">
      <c r="A41" s="42">
        <f>IF(H41&lt;&gt;"",1+MAX($A$5:A40),"")</f>
        <v>24</v>
      </c>
      <c r="B41" s="84"/>
      <c r="C41" s="84"/>
      <c r="D41" s="33"/>
      <c r="E41" s="34" t="s">
        <v>59</v>
      </c>
      <c r="F41" s="35">
        <f>4.6*F35/2</f>
        <v>319.37799999999999</v>
      </c>
      <c r="G41" s="36">
        <v>0.1</v>
      </c>
      <c r="H41" s="37">
        <f t="shared" si="29"/>
        <v>351.31580000000002</v>
      </c>
      <c r="I41" s="38" t="s">
        <v>47</v>
      </c>
      <c r="J41" s="39">
        <v>0</v>
      </c>
      <c r="K41" s="40">
        <f t="shared" si="30"/>
        <v>0</v>
      </c>
      <c r="L41" s="39">
        <v>0</v>
      </c>
      <c r="M41" s="40">
        <f t="shared" si="31"/>
        <v>0</v>
      </c>
      <c r="N41" s="40">
        <f t="shared" si="32"/>
        <v>0</v>
      </c>
      <c r="O41" s="41"/>
      <c r="P41" s="23"/>
    </row>
    <row r="42" spans="1:16" ht="15" customHeight="1" thickBot="1" x14ac:dyDescent="0.3">
      <c r="A42" s="42" t="str">
        <f>IF(H42&lt;&gt;"",1+MAX($A$5:A41),"")</f>
        <v/>
      </c>
      <c r="B42" s="84"/>
      <c r="C42" s="84"/>
      <c r="D42" s="33"/>
      <c r="E42" s="34"/>
      <c r="F42" s="35"/>
      <c r="G42" s="36"/>
      <c r="H42" s="37"/>
      <c r="I42" s="38"/>
      <c r="J42" s="39"/>
      <c r="K42" s="40"/>
      <c r="L42" s="39"/>
      <c r="M42" s="40"/>
      <c r="N42" s="40"/>
      <c r="O42" s="41"/>
      <c r="P42" s="23"/>
    </row>
    <row r="43" spans="1:16" ht="15" customHeight="1" thickBot="1" x14ac:dyDescent="0.3">
      <c r="A43" s="42" t="str">
        <f>IF(H43&lt;&gt;"",1+MAX($A$5:A42),"")</f>
        <v/>
      </c>
      <c r="B43" s="84"/>
      <c r="C43" s="84"/>
      <c r="D43" s="73"/>
      <c r="E43" s="74" t="s">
        <v>41</v>
      </c>
      <c r="F43" s="35">
        <v>72.12</v>
      </c>
      <c r="G43" s="36"/>
      <c r="H43" s="37"/>
      <c r="I43" s="38" t="s">
        <v>47</v>
      </c>
      <c r="J43" s="39"/>
      <c r="K43" s="40"/>
      <c r="L43" s="39"/>
      <c r="M43" s="40"/>
      <c r="N43" s="40"/>
      <c r="O43" s="41"/>
      <c r="P43" s="23"/>
    </row>
    <row r="44" spans="1:16" ht="15" customHeight="1" thickBot="1" x14ac:dyDescent="0.3">
      <c r="A44" s="42"/>
      <c r="B44" s="84"/>
      <c r="C44" s="84"/>
      <c r="D44" s="33"/>
      <c r="E44" s="34" t="s">
        <v>105</v>
      </c>
      <c r="F44" s="35">
        <f>4*F43</f>
        <v>288.48</v>
      </c>
      <c r="G44" s="36">
        <v>0.1</v>
      </c>
      <c r="H44" s="37">
        <f t="shared" ref="H44" si="33">F44*(1+G44)</f>
        <v>317.32800000000003</v>
      </c>
      <c r="I44" s="38" t="s">
        <v>48</v>
      </c>
      <c r="J44" s="39">
        <v>0</v>
      </c>
      <c r="K44" s="40">
        <f t="shared" ref="K44" si="34">J44*H44</f>
        <v>0</v>
      </c>
      <c r="L44" s="39">
        <v>0</v>
      </c>
      <c r="M44" s="40">
        <f t="shared" ref="M44" si="35">H44*L44</f>
        <v>0</v>
      </c>
      <c r="N44" s="40">
        <f t="shared" ref="N44" si="36">M44+K44</f>
        <v>0</v>
      </c>
      <c r="O44" s="41"/>
      <c r="P44" s="23"/>
    </row>
    <row r="45" spans="1:16" ht="15" customHeight="1" thickBot="1" x14ac:dyDescent="0.3">
      <c r="A45" s="42">
        <f>IF(H45&lt;&gt;"",1+MAX($A$5:A43),"")</f>
        <v>25</v>
      </c>
      <c r="B45" s="84"/>
      <c r="C45" s="84"/>
      <c r="D45" s="33"/>
      <c r="E45" s="34" t="s">
        <v>60</v>
      </c>
      <c r="F45" s="35">
        <f>4.34*1*F43/27</f>
        <v>11.592622222222223</v>
      </c>
      <c r="G45" s="36">
        <v>0.1</v>
      </c>
      <c r="H45" s="37">
        <f t="shared" ref="H45:H49" si="37">F45*(1+G45)</f>
        <v>12.751884444444446</v>
      </c>
      <c r="I45" s="38" t="s">
        <v>55</v>
      </c>
      <c r="J45" s="39">
        <v>0</v>
      </c>
      <c r="K45" s="40">
        <f t="shared" ref="K45:K49" si="38">J45*H45</f>
        <v>0</v>
      </c>
      <c r="L45" s="39">
        <v>0</v>
      </c>
      <c r="M45" s="40">
        <f t="shared" ref="M45:M49" si="39">H45*L45</f>
        <v>0</v>
      </c>
      <c r="N45" s="40">
        <f t="shared" ref="N45:N49" si="40">M45+K45</f>
        <v>0</v>
      </c>
      <c r="O45" s="41"/>
      <c r="P45" s="23"/>
    </row>
    <row r="46" spans="1:16" ht="15" customHeight="1" thickBot="1" x14ac:dyDescent="0.3">
      <c r="A46" s="42">
        <f>IF(H46&lt;&gt;"",1+MAX($A$5:A45),"")</f>
        <v>26</v>
      </c>
      <c r="B46" s="84"/>
      <c r="C46" s="84"/>
      <c r="D46" s="33"/>
      <c r="E46" s="34" t="s">
        <v>61</v>
      </c>
      <c r="F46" s="35">
        <f>5*F43</f>
        <v>360.6</v>
      </c>
      <c r="G46" s="36">
        <v>0.1</v>
      </c>
      <c r="H46" s="37">
        <f t="shared" si="37"/>
        <v>396.66000000000008</v>
      </c>
      <c r="I46" s="38" t="s">
        <v>47</v>
      </c>
      <c r="J46" s="39">
        <v>0</v>
      </c>
      <c r="K46" s="40">
        <f t="shared" si="38"/>
        <v>0</v>
      </c>
      <c r="L46" s="39">
        <v>0</v>
      </c>
      <c r="M46" s="40">
        <f t="shared" si="39"/>
        <v>0</v>
      </c>
      <c r="N46" s="40">
        <f t="shared" si="40"/>
        <v>0</v>
      </c>
      <c r="O46" s="41"/>
      <c r="P46" s="23"/>
    </row>
    <row r="47" spans="1:16" ht="15" customHeight="1" thickBot="1" x14ac:dyDescent="0.3">
      <c r="A47" s="42">
        <f>IF(H47&lt;&gt;"",1+MAX($A$5:A46),"")</f>
        <v>27</v>
      </c>
      <c r="B47" s="84"/>
      <c r="C47" s="84"/>
      <c r="D47" s="33"/>
      <c r="E47" s="34" t="s">
        <v>62</v>
      </c>
      <c r="F47" s="35">
        <f>4*(1+F43)</f>
        <v>292.48</v>
      </c>
      <c r="G47" s="36">
        <v>0.1</v>
      </c>
      <c r="H47" s="37">
        <f t="shared" si="37"/>
        <v>321.72800000000007</v>
      </c>
      <c r="I47" s="38" t="s">
        <v>47</v>
      </c>
      <c r="J47" s="39">
        <v>0</v>
      </c>
      <c r="K47" s="40">
        <f t="shared" si="38"/>
        <v>0</v>
      </c>
      <c r="L47" s="39">
        <v>0</v>
      </c>
      <c r="M47" s="40">
        <f t="shared" si="39"/>
        <v>0</v>
      </c>
      <c r="N47" s="40">
        <f t="shared" si="40"/>
        <v>0</v>
      </c>
      <c r="O47" s="41"/>
      <c r="P47" s="23"/>
    </row>
    <row r="48" spans="1:16" ht="15" customHeight="1" thickBot="1" x14ac:dyDescent="0.3">
      <c r="A48" s="42">
        <f>IF(H48&lt;&gt;"",1+MAX($A$5:A47),"")</f>
        <v>28</v>
      </c>
      <c r="B48" s="84"/>
      <c r="C48" s="84"/>
      <c r="D48" s="33"/>
      <c r="E48" s="34" t="s">
        <v>52</v>
      </c>
      <c r="F48" s="35">
        <f>(F43*5/0.67)</f>
        <v>538.20895522388059</v>
      </c>
      <c r="G48" s="36">
        <v>0.1</v>
      </c>
      <c r="H48" s="37">
        <f t="shared" si="37"/>
        <v>592.02985074626872</v>
      </c>
      <c r="I48" s="38" t="s">
        <v>46</v>
      </c>
      <c r="J48" s="39">
        <v>0</v>
      </c>
      <c r="K48" s="40">
        <f t="shared" si="38"/>
        <v>0</v>
      </c>
      <c r="L48" s="39">
        <v>0</v>
      </c>
      <c r="M48" s="40">
        <f t="shared" si="39"/>
        <v>0</v>
      </c>
      <c r="N48" s="40">
        <f t="shared" si="40"/>
        <v>0</v>
      </c>
      <c r="O48" s="41"/>
      <c r="P48" s="23"/>
    </row>
    <row r="49" spans="1:16" ht="15" customHeight="1" thickBot="1" x14ac:dyDescent="0.3">
      <c r="A49" s="42">
        <f>IF(H49&lt;&gt;"",1+MAX($A$5:A48),"")</f>
        <v>29</v>
      </c>
      <c r="B49" s="84"/>
      <c r="C49" s="84"/>
      <c r="D49" s="33"/>
      <c r="E49" s="34" t="s">
        <v>59</v>
      </c>
      <c r="F49" s="35">
        <f>4.6*F43/2</f>
        <v>165.876</v>
      </c>
      <c r="G49" s="36">
        <v>0.1</v>
      </c>
      <c r="H49" s="37">
        <f t="shared" si="37"/>
        <v>182.46360000000001</v>
      </c>
      <c r="I49" s="38" t="s">
        <v>47</v>
      </c>
      <c r="J49" s="39">
        <v>0</v>
      </c>
      <c r="K49" s="40">
        <f t="shared" si="38"/>
        <v>0</v>
      </c>
      <c r="L49" s="39">
        <v>0</v>
      </c>
      <c r="M49" s="40">
        <f t="shared" si="39"/>
        <v>0</v>
      </c>
      <c r="N49" s="40">
        <f t="shared" si="40"/>
        <v>0</v>
      </c>
      <c r="O49" s="41"/>
      <c r="P49" s="23"/>
    </row>
    <row r="50" spans="1:16" ht="15" customHeight="1" thickBot="1" x14ac:dyDescent="0.3">
      <c r="A50" s="42" t="str">
        <f>IF(H50&lt;&gt;"",1+MAX($A$5:A49),"")</f>
        <v/>
      </c>
      <c r="B50" s="84"/>
      <c r="C50" s="84"/>
      <c r="D50" s="33"/>
      <c r="E50" s="34"/>
      <c r="F50" s="35"/>
      <c r="G50" s="36"/>
      <c r="H50" s="37"/>
      <c r="I50" s="38"/>
      <c r="J50" s="39"/>
      <c r="K50" s="40"/>
      <c r="L50" s="39"/>
      <c r="M50" s="40"/>
      <c r="N50" s="40"/>
      <c r="O50" s="41"/>
      <c r="P50" s="23"/>
    </row>
    <row r="51" spans="1:16" ht="15" customHeight="1" thickBot="1" x14ac:dyDescent="0.3">
      <c r="A51" s="42" t="str">
        <f>IF(H51&lt;&gt;"",1+MAX($A$5:A50),"")</f>
        <v/>
      </c>
      <c r="B51" s="84"/>
      <c r="C51" s="84"/>
      <c r="D51" s="73"/>
      <c r="E51" s="74" t="s">
        <v>44</v>
      </c>
      <c r="F51" s="35">
        <v>259.69</v>
      </c>
      <c r="G51" s="36"/>
      <c r="H51" s="37"/>
      <c r="I51" s="38" t="s">
        <v>47</v>
      </c>
      <c r="J51" s="39"/>
      <c r="K51" s="40"/>
      <c r="L51" s="39"/>
      <c r="M51" s="40"/>
      <c r="N51" s="40"/>
      <c r="O51" s="41"/>
      <c r="P51" s="23"/>
    </row>
    <row r="52" spans="1:16" ht="15" customHeight="1" thickBot="1" x14ac:dyDescent="0.3">
      <c r="A52" s="42">
        <f>IF(H52&lt;&gt;"",1+MAX($A$5:A51),"")</f>
        <v>30</v>
      </c>
      <c r="B52" s="84"/>
      <c r="C52" s="84"/>
      <c r="D52" s="33"/>
      <c r="E52" s="34" t="s">
        <v>63</v>
      </c>
      <c r="F52" s="35">
        <f>2*1*F51/27</f>
        <v>19.236296296296295</v>
      </c>
      <c r="G52" s="36">
        <v>0.1</v>
      </c>
      <c r="H52" s="37">
        <f t="shared" ref="H52:H56" si="41">F52*(1+G52)</f>
        <v>21.159925925925926</v>
      </c>
      <c r="I52" s="38" t="s">
        <v>55</v>
      </c>
      <c r="J52" s="39">
        <v>0</v>
      </c>
      <c r="K52" s="40">
        <f t="shared" ref="K52:K56" si="42">J52*H52</f>
        <v>0</v>
      </c>
      <c r="L52" s="39">
        <v>0</v>
      </c>
      <c r="M52" s="40">
        <f t="shared" ref="M52:M56" si="43">H52*L52</f>
        <v>0</v>
      </c>
      <c r="N52" s="40">
        <f t="shared" ref="N52:N56" si="44">M52+K52</f>
        <v>0</v>
      </c>
      <c r="O52" s="41"/>
      <c r="P52" s="23"/>
    </row>
    <row r="53" spans="1:16" ht="15" customHeight="1" thickBot="1" x14ac:dyDescent="0.3">
      <c r="A53" s="42">
        <f>IF(H53&lt;&gt;"",1+MAX($A$5:A52),"")</f>
        <v>31</v>
      </c>
      <c r="B53" s="84"/>
      <c r="C53" s="84"/>
      <c r="D53" s="33"/>
      <c r="E53" s="34" t="s">
        <v>64</v>
      </c>
      <c r="F53" s="35">
        <f>3*F51</f>
        <v>779.06999999999994</v>
      </c>
      <c r="G53" s="36">
        <v>0.1</v>
      </c>
      <c r="H53" s="37">
        <f t="shared" si="41"/>
        <v>856.97699999999998</v>
      </c>
      <c r="I53" s="38" t="s">
        <v>47</v>
      </c>
      <c r="J53" s="39">
        <v>0</v>
      </c>
      <c r="K53" s="40">
        <f t="shared" si="42"/>
        <v>0</v>
      </c>
      <c r="L53" s="39">
        <v>0</v>
      </c>
      <c r="M53" s="40">
        <f t="shared" si="43"/>
        <v>0</v>
      </c>
      <c r="N53" s="40">
        <f t="shared" si="44"/>
        <v>0</v>
      </c>
      <c r="O53" s="41"/>
      <c r="P53" s="23"/>
    </row>
    <row r="54" spans="1:16" ht="15" customHeight="1" thickBot="1" x14ac:dyDescent="0.3">
      <c r="A54" s="42">
        <f>IF(H54&lt;&gt;"",1+MAX($A$5:A53),"")</f>
        <v>32</v>
      </c>
      <c r="B54" s="84"/>
      <c r="C54" s="84"/>
      <c r="D54" s="33"/>
      <c r="E54" s="34" t="s">
        <v>65</v>
      </c>
      <c r="F54" s="35">
        <f>1.67*(1+F51)</f>
        <v>435.35229999999996</v>
      </c>
      <c r="G54" s="36">
        <v>0.1</v>
      </c>
      <c r="H54" s="37">
        <f t="shared" si="41"/>
        <v>478.88752999999997</v>
      </c>
      <c r="I54" s="38" t="s">
        <v>47</v>
      </c>
      <c r="J54" s="39">
        <v>0</v>
      </c>
      <c r="K54" s="40">
        <f t="shared" si="42"/>
        <v>0</v>
      </c>
      <c r="L54" s="39">
        <v>0</v>
      </c>
      <c r="M54" s="40">
        <f t="shared" si="43"/>
        <v>0</v>
      </c>
      <c r="N54" s="40">
        <f t="shared" si="44"/>
        <v>0</v>
      </c>
      <c r="O54" s="41"/>
      <c r="P54" s="23"/>
    </row>
    <row r="55" spans="1:16" ht="15" customHeight="1" thickBot="1" x14ac:dyDescent="0.3">
      <c r="A55" s="42">
        <f>IF(H55&lt;&gt;"",1+MAX($A$5:A54),"")</f>
        <v>33</v>
      </c>
      <c r="B55" s="84"/>
      <c r="C55" s="84"/>
      <c r="D55" s="33"/>
      <c r="E55" s="34" t="s">
        <v>52</v>
      </c>
      <c r="F55" s="35">
        <f>F51/1.34</f>
        <v>193.79850746268656</v>
      </c>
      <c r="G55" s="36">
        <v>0.1</v>
      </c>
      <c r="H55" s="37">
        <f t="shared" si="41"/>
        <v>213.17835820895525</v>
      </c>
      <c r="I55" s="38" t="s">
        <v>46</v>
      </c>
      <c r="J55" s="39">
        <v>0</v>
      </c>
      <c r="K55" s="40">
        <f t="shared" si="42"/>
        <v>0</v>
      </c>
      <c r="L55" s="39">
        <v>0</v>
      </c>
      <c r="M55" s="40">
        <f t="shared" si="43"/>
        <v>0</v>
      </c>
      <c r="N55" s="40">
        <f t="shared" si="44"/>
        <v>0</v>
      </c>
      <c r="O55" s="41"/>
      <c r="P55" s="23"/>
    </row>
    <row r="56" spans="1:16" ht="15" customHeight="1" thickBot="1" x14ac:dyDescent="0.3">
      <c r="A56" s="42">
        <f>IF(H56&lt;&gt;"",1+MAX($A$5:A55),"")</f>
        <v>34</v>
      </c>
      <c r="B56" s="84"/>
      <c r="C56" s="84"/>
      <c r="D56" s="33"/>
      <c r="E56" s="34" t="s">
        <v>66</v>
      </c>
      <c r="F56" s="35">
        <f>3.8*F51/2</f>
        <v>493.41099999999994</v>
      </c>
      <c r="G56" s="36">
        <v>0.1</v>
      </c>
      <c r="H56" s="37">
        <f t="shared" si="41"/>
        <v>542.75209999999993</v>
      </c>
      <c r="I56" s="38" t="s">
        <v>47</v>
      </c>
      <c r="J56" s="39">
        <v>0</v>
      </c>
      <c r="K56" s="40">
        <f t="shared" si="42"/>
        <v>0</v>
      </c>
      <c r="L56" s="39">
        <v>0</v>
      </c>
      <c r="M56" s="40">
        <f t="shared" si="43"/>
        <v>0</v>
      </c>
      <c r="N56" s="40">
        <f t="shared" si="44"/>
        <v>0</v>
      </c>
      <c r="O56" s="41"/>
      <c r="P56" s="23"/>
    </row>
    <row r="57" spans="1:16" ht="15" customHeight="1" thickBot="1" x14ac:dyDescent="0.3">
      <c r="A57" s="42" t="str">
        <f>IF(H57&lt;&gt;"",1+MAX($A$5:A56),"")</f>
        <v/>
      </c>
      <c r="B57" s="84"/>
      <c r="C57" s="84"/>
      <c r="D57" s="33"/>
      <c r="E57" s="34"/>
      <c r="F57" s="35"/>
      <c r="G57" s="36"/>
      <c r="H57" s="37"/>
      <c r="I57" s="38"/>
      <c r="J57" s="39"/>
      <c r="K57" s="40"/>
      <c r="L57" s="39"/>
      <c r="M57" s="40"/>
      <c r="N57" s="40"/>
      <c r="O57" s="41"/>
      <c r="P57" s="23"/>
    </row>
    <row r="58" spans="1:16" ht="15" customHeight="1" thickBot="1" x14ac:dyDescent="0.3">
      <c r="A58" s="42" t="str">
        <f>IF(H58&lt;&gt;"",1+MAX($A$5:A57),"")</f>
        <v/>
      </c>
      <c r="B58" s="84"/>
      <c r="C58" s="84"/>
      <c r="D58" s="73"/>
      <c r="E58" s="74" t="s">
        <v>45</v>
      </c>
      <c r="F58" s="35">
        <v>17</v>
      </c>
      <c r="G58" s="36"/>
      <c r="H58" s="37"/>
      <c r="I58" s="38" t="s">
        <v>47</v>
      </c>
      <c r="J58" s="39"/>
      <c r="K58" s="40"/>
      <c r="L58" s="39"/>
      <c r="M58" s="40"/>
      <c r="N58" s="40"/>
      <c r="O58" s="41"/>
      <c r="P58" s="23"/>
    </row>
    <row r="59" spans="1:16" ht="15" customHeight="1" thickBot="1" x14ac:dyDescent="0.3">
      <c r="A59" s="42">
        <f>IF(H59&lt;&gt;"",1+MAX($A$5:A58),"")</f>
        <v>35</v>
      </c>
      <c r="B59" s="84"/>
      <c r="C59" s="84"/>
      <c r="D59" s="33"/>
      <c r="E59" s="34" t="s">
        <v>63</v>
      </c>
      <c r="F59" s="35">
        <f>2*1*F58/27</f>
        <v>1.2592592592592593</v>
      </c>
      <c r="G59" s="36">
        <v>0.1</v>
      </c>
      <c r="H59" s="37">
        <f t="shared" ref="H59:H61" si="45">F59*(1+G59)</f>
        <v>1.3851851851851853</v>
      </c>
      <c r="I59" s="38" t="s">
        <v>55</v>
      </c>
      <c r="J59" s="39">
        <v>0</v>
      </c>
      <c r="K59" s="40">
        <f t="shared" ref="K59:K61" si="46">J59*H59</f>
        <v>0</v>
      </c>
      <c r="L59" s="39">
        <v>0</v>
      </c>
      <c r="M59" s="40">
        <f t="shared" ref="M59:M61" si="47">H59*L59</f>
        <v>0</v>
      </c>
      <c r="N59" s="40">
        <f t="shared" ref="N59:N61" si="48">M59+K59</f>
        <v>0</v>
      </c>
      <c r="O59" s="41"/>
      <c r="P59" s="23"/>
    </row>
    <row r="60" spans="1:16" ht="15" customHeight="1" thickBot="1" x14ac:dyDescent="0.3">
      <c r="A60" s="42">
        <f>IF(H60&lt;&gt;"",1+MAX($A$5:A59),"")</f>
        <v>36</v>
      </c>
      <c r="B60" s="84"/>
      <c r="C60" s="84"/>
      <c r="D60" s="33"/>
      <c r="E60" s="34" t="s">
        <v>64</v>
      </c>
      <c r="F60" s="35">
        <f>3*F58</f>
        <v>51</v>
      </c>
      <c r="G60" s="36">
        <v>0.1</v>
      </c>
      <c r="H60" s="37">
        <f t="shared" si="45"/>
        <v>56.1</v>
      </c>
      <c r="I60" s="38" t="s">
        <v>47</v>
      </c>
      <c r="J60" s="39">
        <v>0</v>
      </c>
      <c r="K60" s="40">
        <f t="shared" si="46"/>
        <v>0</v>
      </c>
      <c r="L60" s="39">
        <v>0</v>
      </c>
      <c r="M60" s="40">
        <f t="shared" si="47"/>
        <v>0</v>
      </c>
      <c r="N60" s="40">
        <f t="shared" si="48"/>
        <v>0</v>
      </c>
      <c r="O60" s="41"/>
      <c r="P60" s="23"/>
    </row>
    <row r="61" spans="1:16" ht="15" customHeight="1" thickBot="1" x14ac:dyDescent="0.3">
      <c r="A61" s="42">
        <f>IF(H61&lt;&gt;"",1+MAX($A$5:A60),"")</f>
        <v>37</v>
      </c>
      <c r="B61" s="84"/>
      <c r="C61" s="84"/>
      <c r="D61" s="33"/>
      <c r="E61" s="34" t="s">
        <v>65</v>
      </c>
      <c r="F61" s="35">
        <f>1.67*(1+F58)</f>
        <v>30.06</v>
      </c>
      <c r="G61" s="36">
        <v>0.1</v>
      </c>
      <c r="H61" s="37">
        <f t="shared" si="45"/>
        <v>33.066000000000003</v>
      </c>
      <c r="I61" s="38" t="s">
        <v>47</v>
      </c>
      <c r="J61" s="39">
        <v>0</v>
      </c>
      <c r="K61" s="40">
        <f t="shared" si="46"/>
        <v>0</v>
      </c>
      <c r="L61" s="39">
        <v>0</v>
      </c>
      <c r="M61" s="40">
        <f t="shared" si="47"/>
        <v>0</v>
      </c>
      <c r="N61" s="40">
        <f t="shared" si="48"/>
        <v>0</v>
      </c>
      <c r="O61" s="41"/>
      <c r="P61" s="23"/>
    </row>
    <row r="62" spans="1:16" ht="15" customHeight="1" thickBot="1" x14ac:dyDescent="0.3">
      <c r="A62" s="42" t="str">
        <f>IF(H62&lt;&gt;"",1+MAX($A$5:A61),"")</f>
        <v/>
      </c>
      <c r="B62" s="84"/>
      <c r="C62" s="84"/>
      <c r="D62" s="33"/>
      <c r="E62" s="34"/>
      <c r="F62" s="35"/>
      <c r="G62" s="36"/>
      <c r="H62" s="37"/>
      <c r="I62" s="38"/>
      <c r="J62" s="39"/>
      <c r="K62" s="40"/>
      <c r="L62" s="39"/>
      <c r="M62" s="40"/>
      <c r="N62" s="40"/>
      <c r="O62" s="41"/>
      <c r="P62" s="23"/>
    </row>
    <row r="63" spans="1:16" ht="15" customHeight="1" thickBot="1" x14ac:dyDescent="0.3">
      <c r="A63" s="42" t="str">
        <f>IF(H63&lt;&gt;"",1+MAX($A$5:A62),"")</f>
        <v/>
      </c>
      <c r="B63" s="84"/>
      <c r="C63" s="84"/>
      <c r="D63" s="73"/>
      <c r="E63" s="74" t="s">
        <v>42</v>
      </c>
      <c r="F63" s="35">
        <v>67.38</v>
      </c>
      <c r="G63" s="36"/>
      <c r="H63" s="37"/>
      <c r="I63" s="38" t="s">
        <v>47</v>
      </c>
      <c r="J63" s="39"/>
      <c r="K63" s="40"/>
      <c r="L63" s="39"/>
      <c r="M63" s="40"/>
      <c r="N63" s="40"/>
      <c r="O63" s="41"/>
      <c r="P63" s="23"/>
    </row>
    <row r="64" spans="1:16" ht="15" customHeight="1" thickBot="1" x14ac:dyDescent="0.3">
      <c r="A64" s="42"/>
      <c r="B64" s="84"/>
      <c r="C64" s="84"/>
      <c r="D64" s="33"/>
      <c r="E64" s="34" t="s">
        <v>105</v>
      </c>
      <c r="F64" s="35">
        <f>3.34*F63</f>
        <v>225.04919999999998</v>
      </c>
      <c r="G64" s="36">
        <v>0.1</v>
      </c>
      <c r="H64" s="37">
        <f t="shared" ref="H64" si="49">F64*(1+G64)</f>
        <v>247.55412000000001</v>
      </c>
      <c r="I64" s="38" t="s">
        <v>48</v>
      </c>
      <c r="J64" s="39">
        <v>0</v>
      </c>
      <c r="K64" s="40">
        <f t="shared" ref="K64" si="50">J64*H64</f>
        <v>0</v>
      </c>
      <c r="L64" s="39">
        <v>0</v>
      </c>
      <c r="M64" s="40">
        <f t="shared" ref="M64" si="51">H64*L64</f>
        <v>0</v>
      </c>
      <c r="N64" s="40">
        <f t="shared" ref="N64" si="52">M64+K64</f>
        <v>0</v>
      </c>
      <c r="O64" s="41"/>
      <c r="P64" s="23"/>
    </row>
    <row r="65" spans="1:16" ht="15" customHeight="1" thickBot="1" x14ac:dyDescent="0.3">
      <c r="A65" s="42">
        <f>IF(H65&lt;&gt;"",1+MAX($A$5:A63),"")</f>
        <v>38</v>
      </c>
      <c r="B65" s="84"/>
      <c r="C65" s="84"/>
      <c r="D65" s="33"/>
      <c r="E65" s="34" t="s">
        <v>67</v>
      </c>
      <c r="F65" s="35">
        <f>3.31*F63/27</f>
        <v>8.2602888888888888</v>
      </c>
      <c r="G65" s="36">
        <v>0.1</v>
      </c>
      <c r="H65" s="37">
        <f t="shared" ref="H65:H70" si="53">F65*(1+G65)</f>
        <v>9.0863177777777793</v>
      </c>
      <c r="I65" s="38" t="s">
        <v>55</v>
      </c>
      <c r="J65" s="39">
        <v>0</v>
      </c>
      <c r="K65" s="40">
        <f t="shared" ref="K65:K70" si="54">J65*H65</f>
        <v>0</v>
      </c>
      <c r="L65" s="39">
        <v>0</v>
      </c>
      <c r="M65" s="40">
        <f t="shared" ref="M65:M70" si="55">H65*L65</f>
        <v>0</v>
      </c>
      <c r="N65" s="40">
        <f t="shared" ref="N65:N70" si="56">M65+K65</f>
        <v>0</v>
      </c>
      <c r="O65" s="41"/>
      <c r="P65" s="23"/>
    </row>
    <row r="66" spans="1:16" ht="15" customHeight="1" thickBot="1" x14ac:dyDescent="0.3">
      <c r="A66" s="42">
        <f>IF(H66&lt;&gt;"",1+MAX($A$5:A65),"")</f>
        <v>39</v>
      </c>
      <c r="B66" s="84"/>
      <c r="C66" s="84"/>
      <c r="D66" s="33"/>
      <c r="E66" s="34" t="s">
        <v>64</v>
      </c>
      <c r="F66" s="35">
        <f>3*F63</f>
        <v>202.14</v>
      </c>
      <c r="G66" s="36">
        <v>0.1</v>
      </c>
      <c r="H66" s="37">
        <f t="shared" si="53"/>
        <v>222.35400000000001</v>
      </c>
      <c r="I66" s="38" t="s">
        <v>47</v>
      </c>
      <c r="J66" s="39">
        <v>0</v>
      </c>
      <c r="K66" s="40">
        <f t="shared" si="54"/>
        <v>0</v>
      </c>
      <c r="L66" s="39">
        <v>0</v>
      </c>
      <c r="M66" s="40">
        <f t="shared" si="55"/>
        <v>0</v>
      </c>
      <c r="N66" s="40">
        <f t="shared" si="56"/>
        <v>0</v>
      </c>
      <c r="O66" s="41"/>
      <c r="P66" s="23"/>
    </row>
    <row r="67" spans="1:16" ht="15" customHeight="1" thickBot="1" x14ac:dyDescent="0.3">
      <c r="A67" s="42">
        <f>IF(H67&lt;&gt;"",1+MAX($A$5:A66),"")</f>
        <v>40</v>
      </c>
      <c r="B67" s="84"/>
      <c r="C67" s="84"/>
      <c r="D67" s="33"/>
      <c r="E67" s="34" t="s">
        <v>68</v>
      </c>
      <c r="F67" s="35">
        <f>1*F63</f>
        <v>67.38</v>
      </c>
      <c r="G67" s="36">
        <v>0.1</v>
      </c>
      <c r="H67" s="37">
        <f t="shared" ref="H67" si="57">F67*(1+G67)</f>
        <v>74.117999999999995</v>
      </c>
      <c r="I67" s="38" t="s">
        <v>47</v>
      </c>
      <c r="J67" s="39">
        <v>0</v>
      </c>
      <c r="K67" s="40">
        <f t="shared" ref="K67" si="58">J67*H67</f>
        <v>0</v>
      </c>
      <c r="L67" s="39">
        <v>0</v>
      </c>
      <c r="M67" s="40">
        <f t="shared" ref="M67" si="59">H67*L67</f>
        <v>0</v>
      </c>
      <c r="N67" s="40">
        <f t="shared" ref="N67" si="60">M67+K67</f>
        <v>0</v>
      </c>
      <c r="O67" s="41"/>
      <c r="P67" s="23"/>
    </row>
    <row r="68" spans="1:16" ht="15" customHeight="1" thickBot="1" x14ac:dyDescent="0.3">
      <c r="A68" s="42">
        <f>IF(H68&lt;&gt;"",1+MAX($A$5:A67),"")</f>
        <v>41</v>
      </c>
      <c r="B68" s="84"/>
      <c r="C68" s="84"/>
      <c r="D68" s="33"/>
      <c r="E68" s="34" t="s">
        <v>69</v>
      </c>
      <c r="F68" s="35">
        <f>1.83*(1+F63)</f>
        <v>125.13539999999999</v>
      </c>
      <c r="G68" s="36">
        <v>0.1</v>
      </c>
      <c r="H68" s="37">
        <f t="shared" si="53"/>
        <v>137.64894000000001</v>
      </c>
      <c r="I68" s="38" t="s">
        <v>47</v>
      </c>
      <c r="J68" s="39">
        <v>0</v>
      </c>
      <c r="K68" s="40">
        <f t="shared" si="54"/>
        <v>0</v>
      </c>
      <c r="L68" s="39">
        <v>0</v>
      </c>
      <c r="M68" s="40">
        <f t="shared" si="55"/>
        <v>0</v>
      </c>
      <c r="N68" s="40">
        <f t="shared" si="56"/>
        <v>0</v>
      </c>
      <c r="O68" s="41"/>
      <c r="P68" s="23"/>
    </row>
    <row r="69" spans="1:16" ht="15" customHeight="1" thickBot="1" x14ac:dyDescent="0.3">
      <c r="A69" s="42">
        <f>IF(H69&lt;&gt;"",1+MAX($A$5:A68),"")</f>
        <v>42</v>
      </c>
      <c r="B69" s="84"/>
      <c r="C69" s="84"/>
      <c r="D69" s="33"/>
      <c r="E69" s="34" t="s">
        <v>70</v>
      </c>
      <c r="F69" s="35">
        <f>(F63*4/0.67)</f>
        <v>402.26865671641787</v>
      </c>
      <c r="G69" s="36">
        <v>0.1</v>
      </c>
      <c r="H69" s="37">
        <f t="shared" si="53"/>
        <v>442.49552238805967</v>
      </c>
      <c r="I69" s="38" t="s">
        <v>46</v>
      </c>
      <c r="J69" s="39">
        <v>0</v>
      </c>
      <c r="K69" s="40">
        <f t="shared" si="54"/>
        <v>0</v>
      </c>
      <c r="L69" s="39">
        <v>0</v>
      </c>
      <c r="M69" s="40">
        <f t="shared" si="55"/>
        <v>0</v>
      </c>
      <c r="N69" s="40">
        <f t="shared" si="56"/>
        <v>0</v>
      </c>
      <c r="O69" s="41"/>
      <c r="P69" s="23"/>
    </row>
    <row r="70" spans="1:16" ht="15" customHeight="1" thickBot="1" x14ac:dyDescent="0.3">
      <c r="A70" s="42">
        <f>IF(H70&lt;&gt;"",1+MAX($A$5:A69),"")</f>
        <v>43</v>
      </c>
      <c r="B70" s="84"/>
      <c r="C70" s="84"/>
      <c r="D70" s="33"/>
      <c r="E70" s="34" t="s">
        <v>71</v>
      </c>
      <c r="F70" s="35">
        <f>3.7*F63/2</f>
        <v>124.65299999999999</v>
      </c>
      <c r="G70" s="36">
        <v>0.1</v>
      </c>
      <c r="H70" s="37">
        <f t="shared" si="53"/>
        <v>137.1183</v>
      </c>
      <c r="I70" s="38" t="s">
        <v>47</v>
      </c>
      <c r="J70" s="39">
        <v>0</v>
      </c>
      <c r="K70" s="40">
        <f t="shared" si="54"/>
        <v>0</v>
      </c>
      <c r="L70" s="39">
        <v>0</v>
      </c>
      <c r="M70" s="40">
        <f t="shared" si="55"/>
        <v>0</v>
      </c>
      <c r="N70" s="40">
        <f t="shared" si="56"/>
        <v>0</v>
      </c>
      <c r="O70" s="41"/>
      <c r="P70" s="23"/>
    </row>
    <row r="71" spans="1:16" ht="15" customHeight="1" thickBot="1" x14ac:dyDescent="0.3">
      <c r="A71" s="42" t="str">
        <f>IF(H71&lt;&gt;"",1+MAX($A$5:A70),"")</f>
        <v/>
      </c>
      <c r="B71" s="84"/>
      <c r="C71" s="84"/>
      <c r="D71" s="33"/>
      <c r="E71" s="34"/>
      <c r="F71" s="35"/>
      <c r="G71" s="36"/>
      <c r="H71" s="37"/>
      <c r="I71" s="38"/>
      <c r="J71" s="39"/>
      <c r="K71" s="40"/>
      <c r="L71" s="39"/>
      <c r="M71" s="40"/>
      <c r="N71" s="40"/>
      <c r="O71" s="41"/>
      <c r="P71" s="23"/>
    </row>
    <row r="72" spans="1:16" ht="15" customHeight="1" thickBot="1" x14ac:dyDescent="0.3">
      <c r="A72" s="42" t="str">
        <f>IF(H72&lt;&gt;"",1+MAX($A$5:A71),"")</f>
        <v/>
      </c>
      <c r="B72" s="84"/>
      <c r="C72" s="84"/>
      <c r="D72" s="73"/>
      <c r="E72" s="74" t="s">
        <v>43</v>
      </c>
      <c r="F72" s="35">
        <v>6.37</v>
      </c>
      <c r="G72" s="36"/>
      <c r="H72" s="37"/>
      <c r="I72" s="38" t="s">
        <v>47</v>
      </c>
      <c r="J72" s="39"/>
      <c r="K72" s="40"/>
      <c r="L72" s="39"/>
      <c r="M72" s="40"/>
      <c r="N72" s="40"/>
      <c r="O72" s="41"/>
      <c r="P72" s="23"/>
    </row>
    <row r="73" spans="1:16" ht="15" customHeight="1" thickBot="1" x14ac:dyDescent="0.3">
      <c r="A73" s="42">
        <f>IF(H73&lt;&gt;"",1+MAX($A$5:A72),"")</f>
        <v>44</v>
      </c>
      <c r="B73" s="84"/>
      <c r="C73" s="84"/>
      <c r="D73" s="33"/>
      <c r="E73" s="34" t="s">
        <v>63</v>
      </c>
      <c r="F73" s="72">
        <f>2*1*F72/27</f>
        <v>0.47185185185185186</v>
      </c>
      <c r="G73" s="36">
        <v>0.1</v>
      </c>
      <c r="H73" s="37">
        <f t="shared" ref="H73:H77" si="61">F73*(1+G73)</f>
        <v>0.51903703703703707</v>
      </c>
      <c r="I73" s="38" t="s">
        <v>55</v>
      </c>
      <c r="J73" s="39">
        <v>0</v>
      </c>
      <c r="K73" s="40">
        <f t="shared" ref="K73:K77" si="62">J73*H73</f>
        <v>0</v>
      </c>
      <c r="L73" s="39">
        <v>0</v>
      </c>
      <c r="M73" s="40">
        <f t="shared" ref="M73:M77" si="63">H73*L73</f>
        <v>0</v>
      </c>
      <c r="N73" s="40">
        <f t="shared" ref="N73:N77" si="64">M73+K73</f>
        <v>0</v>
      </c>
      <c r="O73" s="41"/>
      <c r="P73" s="23"/>
    </row>
    <row r="74" spans="1:16" ht="15" customHeight="1" thickBot="1" x14ac:dyDescent="0.3">
      <c r="A74" s="42">
        <f>IF(H74&lt;&gt;"",1+MAX($A$5:A73),"")</f>
        <v>45</v>
      </c>
      <c r="B74" s="84"/>
      <c r="C74" s="84"/>
      <c r="D74" s="33"/>
      <c r="E74" s="34" t="s">
        <v>50</v>
      </c>
      <c r="F74" s="35">
        <f>4*F72</f>
        <v>25.48</v>
      </c>
      <c r="G74" s="36">
        <v>0.1</v>
      </c>
      <c r="H74" s="37">
        <f t="shared" si="61"/>
        <v>28.028000000000002</v>
      </c>
      <c r="I74" s="38" t="s">
        <v>47</v>
      </c>
      <c r="J74" s="39">
        <v>0</v>
      </c>
      <c r="K74" s="40">
        <f t="shared" si="62"/>
        <v>0</v>
      </c>
      <c r="L74" s="39">
        <v>0</v>
      </c>
      <c r="M74" s="40">
        <f t="shared" si="63"/>
        <v>0</v>
      </c>
      <c r="N74" s="40">
        <f t="shared" si="64"/>
        <v>0</v>
      </c>
      <c r="O74" s="41"/>
      <c r="P74" s="23"/>
    </row>
    <row r="75" spans="1:16" ht="15" customHeight="1" thickBot="1" x14ac:dyDescent="0.3">
      <c r="A75" s="42">
        <f>IF(H75&lt;&gt;"",1+MAX($A$5:A74),"")</f>
        <v>46</v>
      </c>
      <c r="B75" s="84"/>
      <c r="C75" s="84"/>
      <c r="D75" s="33"/>
      <c r="E75" s="34" t="s">
        <v>65</v>
      </c>
      <c r="F75" s="35">
        <f>1.67*(1+F72)</f>
        <v>12.3079</v>
      </c>
      <c r="G75" s="36">
        <v>0.1</v>
      </c>
      <c r="H75" s="37">
        <f t="shared" si="61"/>
        <v>13.538690000000001</v>
      </c>
      <c r="I75" s="38" t="s">
        <v>47</v>
      </c>
      <c r="J75" s="39">
        <v>0</v>
      </c>
      <c r="K75" s="40">
        <f t="shared" si="62"/>
        <v>0</v>
      </c>
      <c r="L75" s="39">
        <v>0</v>
      </c>
      <c r="M75" s="40">
        <f t="shared" si="63"/>
        <v>0</v>
      </c>
      <c r="N75" s="40">
        <f t="shared" si="64"/>
        <v>0</v>
      </c>
      <c r="O75" s="41"/>
      <c r="P75" s="23"/>
    </row>
    <row r="76" spans="1:16" ht="15" customHeight="1" thickBot="1" x14ac:dyDescent="0.3">
      <c r="A76" s="42">
        <f>IF(H76&lt;&gt;"",1+MAX($A$5:A75),"")</f>
        <v>47</v>
      </c>
      <c r="B76" s="84"/>
      <c r="C76" s="84"/>
      <c r="D76" s="33"/>
      <c r="E76" s="34" t="s">
        <v>70</v>
      </c>
      <c r="F76" s="35">
        <f>(F72*5/0.67)</f>
        <v>47.537313432835823</v>
      </c>
      <c r="G76" s="36">
        <v>0.1</v>
      </c>
      <c r="H76" s="37">
        <f t="shared" si="61"/>
        <v>52.291044776119406</v>
      </c>
      <c r="I76" s="38" t="s">
        <v>46</v>
      </c>
      <c r="J76" s="39">
        <v>0</v>
      </c>
      <c r="K76" s="40">
        <f t="shared" si="62"/>
        <v>0</v>
      </c>
      <c r="L76" s="39">
        <v>0</v>
      </c>
      <c r="M76" s="40">
        <f t="shared" si="63"/>
        <v>0</v>
      </c>
      <c r="N76" s="40">
        <f t="shared" si="64"/>
        <v>0</v>
      </c>
      <c r="O76" s="41"/>
      <c r="P76" s="23"/>
    </row>
    <row r="77" spans="1:16" ht="15" customHeight="1" thickBot="1" x14ac:dyDescent="0.3">
      <c r="A77" s="42">
        <f>IF(H77&lt;&gt;"",1+MAX($A$5:A76),"")</f>
        <v>48</v>
      </c>
      <c r="B77" s="84"/>
      <c r="C77" s="84"/>
      <c r="D77" s="33"/>
      <c r="E77" s="34" t="s">
        <v>72</v>
      </c>
      <c r="F77" s="35">
        <f>4.5*F72/2</f>
        <v>14.3325</v>
      </c>
      <c r="G77" s="36">
        <v>0.1</v>
      </c>
      <c r="H77" s="37">
        <f t="shared" si="61"/>
        <v>15.765750000000001</v>
      </c>
      <c r="I77" s="38" t="s">
        <v>47</v>
      </c>
      <c r="J77" s="39">
        <v>0</v>
      </c>
      <c r="K77" s="40">
        <f t="shared" si="62"/>
        <v>0</v>
      </c>
      <c r="L77" s="39">
        <v>0</v>
      </c>
      <c r="M77" s="40">
        <f t="shared" si="63"/>
        <v>0</v>
      </c>
      <c r="N77" s="40">
        <f t="shared" si="64"/>
        <v>0</v>
      </c>
      <c r="O77" s="41"/>
      <c r="P77" s="23"/>
    </row>
    <row r="78" spans="1:16" ht="15" customHeight="1" thickBot="1" x14ac:dyDescent="0.3">
      <c r="A78" s="42" t="str">
        <f>IF(H78&lt;&gt;"",1+MAX($A$5:A77),"")</f>
        <v/>
      </c>
      <c r="B78" s="84"/>
      <c r="C78" s="84"/>
      <c r="D78" s="33"/>
      <c r="E78" s="34"/>
      <c r="F78" s="35"/>
      <c r="G78" s="36"/>
      <c r="H78" s="37"/>
      <c r="I78" s="38"/>
      <c r="J78" s="39"/>
      <c r="K78" s="40"/>
      <c r="L78" s="39"/>
      <c r="M78" s="40"/>
      <c r="N78" s="40"/>
      <c r="O78" s="41"/>
      <c r="P78" s="23"/>
    </row>
    <row r="79" spans="1:16" ht="15" customHeight="1" thickBot="1" x14ac:dyDescent="0.3">
      <c r="A79" s="42" t="str">
        <f>IF(H79&lt;&gt;"",1+MAX($A$5:A78),"")</f>
        <v/>
      </c>
      <c r="B79" s="84"/>
      <c r="C79" s="84"/>
      <c r="D79" s="73"/>
      <c r="E79" s="74" t="s">
        <v>97</v>
      </c>
      <c r="F79" s="35"/>
      <c r="G79" s="36"/>
      <c r="H79" s="37"/>
      <c r="I79" s="38"/>
      <c r="J79" s="39"/>
      <c r="K79" s="40"/>
      <c r="L79" s="39"/>
      <c r="M79" s="40"/>
      <c r="N79" s="40"/>
      <c r="O79" s="41"/>
      <c r="P79" s="23"/>
    </row>
    <row r="80" spans="1:16" ht="15" customHeight="1" thickBot="1" x14ac:dyDescent="0.3">
      <c r="A80" s="42">
        <f>IF(H80&lt;&gt;"",1+MAX($A$5:A79),"")</f>
        <v>49</v>
      </c>
      <c r="B80" s="84"/>
      <c r="C80" s="84"/>
      <c r="D80" s="33"/>
      <c r="E80" s="34" t="s">
        <v>74</v>
      </c>
      <c r="F80" s="35">
        <v>6365.12</v>
      </c>
      <c r="G80" s="36">
        <v>0.1</v>
      </c>
      <c r="H80" s="37">
        <f t="shared" ref="H80" si="65">F80*(1+G80)</f>
        <v>7001.6320000000005</v>
      </c>
      <c r="I80" s="38" t="s">
        <v>48</v>
      </c>
      <c r="J80" s="39">
        <v>0</v>
      </c>
      <c r="K80" s="40">
        <f t="shared" ref="K80" si="66">J80*H80</f>
        <v>0</v>
      </c>
      <c r="L80" s="39">
        <v>0</v>
      </c>
      <c r="M80" s="40">
        <f t="shared" ref="M80" si="67">H80*L80</f>
        <v>0</v>
      </c>
      <c r="N80" s="40">
        <f t="shared" ref="N80" si="68">M80+K80</f>
        <v>0</v>
      </c>
      <c r="O80" s="41"/>
      <c r="P80" s="23"/>
    </row>
    <row r="81" spans="1:16" ht="15" customHeight="1" thickBot="1" x14ac:dyDescent="0.3">
      <c r="A81" s="42">
        <f>IF(H81&lt;&gt;"",1+MAX($A$5:A80),"")</f>
        <v>50</v>
      </c>
      <c r="B81" s="84"/>
      <c r="C81" s="84"/>
      <c r="D81" s="33"/>
      <c r="E81" s="34" t="s">
        <v>73</v>
      </c>
      <c r="F81" s="35">
        <v>6365.12</v>
      </c>
      <c r="G81" s="36">
        <v>0.1</v>
      </c>
      <c r="H81" s="37">
        <f t="shared" ref="H81" si="69">F81*(1+G81)</f>
        <v>7001.6320000000005</v>
      </c>
      <c r="I81" s="38" t="s">
        <v>48</v>
      </c>
      <c r="J81" s="39">
        <v>0</v>
      </c>
      <c r="K81" s="40">
        <f t="shared" ref="K81" si="70">J81*H81</f>
        <v>0</v>
      </c>
      <c r="L81" s="39">
        <v>0</v>
      </c>
      <c r="M81" s="40">
        <f t="shared" ref="M81" si="71">H81*L81</f>
        <v>0</v>
      </c>
      <c r="N81" s="40">
        <f t="shared" ref="N81" si="72">M81+K81</f>
        <v>0</v>
      </c>
      <c r="O81" s="41"/>
      <c r="P81" s="23"/>
    </row>
    <row r="82" spans="1:16" ht="15" customHeight="1" thickBot="1" x14ac:dyDescent="0.3">
      <c r="A82" s="42"/>
      <c r="B82" s="84"/>
      <c r="C82" s="84"/>
      <c r="D82" s="33"/>
      <c r="E82" s="34" t="s">
        <v>98</v>
      </c>
      <c r="F82" s="35">
        <v>6365.12</v>
      </c>
      <c r="G82" s="36">
        <v>0.1</v>
      </c>
      <c r="H82" s="37">
        <f t="shared" ref="H82" si="73">F82*(1+G82)</f>
        <v>7001.6320000000005</v>
      </c>
      <c r="I82" s="38" t="s">
        <v>48</v>
      </c>
      <c r="J82" s="39">
        <v>0</v>
      </c>
      <c r="K82" s="40">
        <f t="shared" ref="K82" si="74">J82*H82</f>
        <v>0</v>
      </c>
      <c r="L82" s="39">
        <v>0</v>
      </c>
      <c r="M82" s="40">
        <f t="shared" ref="M82" si="75">H82*L82</f>
        <v>0</v>
      </c>
      <c r="N82" s="40">
        <f t="shared" ref="N82" si="76">M82+K82</f>
        <v>0</v>
      </c>
      <c r="O82" s="41"/>
      <c r="P82" s="23"/>
    </row>
    <row r="83" spans="1:16" ht="15" customHeight="1" thickBot="1" x14ac:dyDescent="0.3">
      <c r="A83" s="42"/>
      <c r="B83" s="84"/>
      <c r="C83" s="84"/>
      <c r="D83" s="33"/>
      <c r="E83" s="34" t="s">
        <v>104</v>
      </c>
      <c r="F83" s="35">
        <v>6365.12</v>
      </c>
      <c r="G83" s="36">
        <v>0.1</v>
      </c>
      <c r="H83" s="37">
        <f t="shared" ref="H83" si="77">F83*(1+G83)</f>
        <v>7001.6320000000005</v>
      </c>
      <c r="I83" s="38" t="s">
        <v>48</v>
      </c>
      <c r="J83" s="39">
        <v>0</v>
      </c>
      <c r="K83" s="40">
        <f t="shared" ref="K83" si="78">J83*H83</f>
        <v>0</v>
      </c>
      <c r="L83" s="39">
        <v>0</v>
      </c>
      <c r="M83" s="40">
        <f t="shared" ref="M83" si="79">H83*L83</f>
        <v>0</v>
      </c>
      <c r="N83" s="40">
        <f t="shared" ref="N83" si="80">M83+K83</f>
        <v>0</v>
      </c>
      <c r="O83" s="41"/>
      <c r="P83" s="23"/>
    </row>
    <row r="84" spans="1:16" ht="15" customHeight="1" thickBot="1" x14ac:dyDescent="0.3">
      <c r="A84" s="42" t="str">
        <f>IF(H84&lt;&gt;"",1+MAX($A$5:A81),"")</f>
        <v/>
      </c>
      <c r="B84" s="84"/>
      <c r="C84" s="84"/>
      <c r="D84" s="33"/>
      <c r="E84" s="34"/>
      <c r="F84" s="35"/>
      <c r="G84" s="36"/>
      <c r="H84" s="37"/>
      <c r="I84" s="38"/>
      <c r="J84" s="39"/>
      <c r="K84" s="40"/>
      <c r="L84" s="39"/>
      <c r="M84" s="40"/>
      <c r="N84" s="40"/>
      <c r="O84" s="41"/>
      <c r="P84" s="23"/>
    </row>
    <row r="85" spans="1:16" ht="15" customHeight="1" thickBot="1" x14ac:dyDescent="0.3">
      <c r="A85" s="42" t="str">
        <f>IF(H85&lt;&gt;"",1+MAX($A$5:A84),"")</f>
        <v/>
      </c>
      <c r="B85" s="84"/>
      <c r="C85" s="84"/>
      <c r="D85" s="73"/>
      <c r="E85" s="74" t="s">
        <v>75</v>
      </c>
      <c r="F85" s="35"/>
      <c r="G85" s="36"/>
      <c r="H85" s="37"/>
      <c r="I85" s="38"/>
      <c r="J85" s="39"/>
      <c r="K85" s="40"/>
      <c r="L85" s="39"/>
      <c r="M85" s="40"/>
      <c r="N85" s="40"/>
      <c r="O85" s="41"/>
      <c r="P85" s="23"/>
    </row>
    <row r="86" spans="1:16" ht="15" customHeight="1" thickBot="1" x14ac:dyDescent="0.3">
      <c r="A86" s="42">
        <f>IF(H86&lt;&gt;"",1+MAX($A$5:A85),"")</f>
        <v>51</v>
      </c>
      <c r="B86" s="84"/>
      <c r="C86" s="84"/>
      <c r="D86" s="33"/>
      <c r="E86" s="34" t="s">
        <v>76</v>
      </c>
      <c r="F86" s="35">
        <f>4*4*1*0.037037037037037</f>
        <v>0.592592592592592</v>
      </c>
      <c r="G86" s="36">
        <v>0.1</v>
      </c>
      <c r="H86" s="37">
        <f t="shared" ref="H86" si="81">F86*(1+G86)</f>
        <v>0.65185185185185124</v>
      </c>
      <c r="I86" s="38" t="s">
        <v>55</v>
      </c>
      <c r="J86" s="39">
        <v>0</v>
      </c>
      <c r="K86" s="40">
        <f t="shared" ref="K86" si="82">J86*H86</f>
        <v>0</v>
      </c>
      <c r="L86" s="39">
        <v>0</v>
      </c>
      <c r="M86" s="40">
        <f t="shared" ref="M86" si="83">H86*L86</f>
        <v>0</v>
      </c>
      <c r="N86" s="40">
        <f t="shared" ref="N86" si="84">M86+K86</f>
        <v>0</v>
      </c>
      <c r="O86" s="41"/>
      <c r="P86" s="23"/>
    </row>
    <row r="87" spans="1:16" ht="15" customHeight="1" thickBot="1" x14ac:dyDescent="0.3">
      <c r="A87" s="42">
        <f>IF(H87&lt;&gt;"",1+MAX($A$5:A86),"")</f>
        <v>52</v>
      </c>
      <c r="B87" s="84"/>
      <c r="C87" s="84"/>
      <c r="D87" s="33"/>
      <c r="E87" s="34" t="s">
        <v>78</v>
      </c>
      <c r="F87" s="35">
        <f>4*4</f>
        <v>16</v>
      </c>
      <c r="G87" s="36">
        <v>0.1</v>
      </c>
      <c r="H87" s="37">
        <f t="shared" ref="H87:H88" si="85">F87*(1+G87)</f>
        <v>17.600000000000001</v>
      </c>
      <c r="I87" s="38" t="s">
        <v>47</v>
      </c>
      <c r="J87" s="39">
        <v>0</v>
      </c>
      <c r="K87" s="40">
        <f t="shared" ref="K87:K88" si="86">J87*H87</f>
        <v>0</v>
      </c>
      <c r="L87" s="39">
        <v>0</v>
      </c>
      <c r="M87" s="40">
        <f t="shared" ref="M87:M88" si="87">H87*L87</f>
        <v>0</v>
      </c>
      <c r="N87" s="40">
        <f t="shared" ref="N87:N88" si="88">M87+K87</f>
        <v>0</v>
      </c>
      <c r="O87" s="41"/>
      <c r="P87" s="23"/>
    </row>
    <row r="88" spans="1:16" ht="15" customHeight="1" thickBot="1" x14ac:dyDescent="0.3">
      <c r="A88" s="42">
        <f>IF(H88&lt;&gt;"",1+MAX($A$5:A87),"")</f>
        <v>53</v>
      </c>
      <c r="B88" s="84"/>
      <c r="C88" s="84"/>
      <c r="D88" s="33"/>
      <c r="E88" s="34" t="s">
        <v>77</v>
      </c>
      <c r="F88" s="35">
        <f>4*4</f>
        <v>16</v>
      </c>
      <c r="G88" s="36">
        <v>0.1</v>
      </c>
      <c r="H88" s="37">
        <f t="shared" si="85"/>
        <v>17.600000000000001</v>
      </c>
      <c r="I88" s="38" t="s">
        <v>47</v>
      </c>
      <c r="J88" s="39">
        <v>0</v>
      </c>
      <c r="K88" s="40">
        <f t="shared" si="86"/>
        <v>0</v>
      </c>
      <c r="L88" s="39">
        <v>0</v>
      </c>
      <c r="M88" s="40">
        <f t="shared" si="87"/>
        <v>0</v>
      </c>
      <c r="N88" s="40">
        <f t="shared" si="88"/>
        <v>0</v>
      </c>
      <c r="O88" s="41"/>
      <c r="P88" s="23"/>
    </row>
    <row r="89" spans="1:16" ht="15" customHeight="1" thickBot="1" x14ac:dyDescent="0.3">
      <c r="A89" s="42" t="str">
        <f>IF(H89&lt;&gt;"",1+MAX($A$5:A88),"")</f>
        <v/>
      </c>
      <c r="B89" s="85"/>
      <c r="C89" s="85"/>
      <c r="D89" s="33"/>
      <c r="E89" s="34"/>
      <c r="F89" s="35"/>
      <c r="G89" s="36"/>
      <c r="H89" s="37"/>
      <c r="I89" s="38"/>
      <c r="J89" s="39"/>
      <c r="K89" s="40"/>
      <c r="L89" s="39"/>
      <c r="M89" s="40"/>
      <c r="N89" s="40"/>
      <c r="O89" s="41"/>
      <c r="P89" s="23"/>
    </row>
    <row r="90" spans="1:16" ht="15" customHeight="1" thickBot="1" x14ac:dyDescent="0.3">
      <c r="A90" s="42" t="str">
        <f>IF(H90&lt;&gt;"",1+MAX($A$5:A89),"")</f>
        <v/>
      </c>
      <c r="B90" s="25"/>
      <c r="C90" s="25"/>
      <c r="D90" s="26" t="s">
        <v>29</v>
      </c>
      <c r="E90" s="27" t="s">
        <v>30</v>
      </c>
      <c r="F90" s="25"/>
      <c r="G90" s="28"/>
      <c r="H90" s="28"/>
      <c r="I90" s="28"/>
      <c r="J90" s="25"/>
      <c r="K90" s="28"/>
      <c r="L90" s="25"/>
      <c r="M90" s="28"/>
      <c r="N90" s="25"/>
      <c r="O90" s="29">
        <f>SUM(N91:N148)</f>
        <v>0</v>
      </c>
      <c r="P90" s="23"/>
    </row>
    <row r="91" spans="1:16" ht="15" customHeight="1" thickBot="1" x14ac:dyDescent="0.3">
      <c r="A91" s="42" t="str">
        <f>IF(H91&lt;&gt;"",1+MAX($A$5:A90),"")</f>
        <v/>
      </c>
      <c r="B91" s="31"/>
      <c r="C91" s="32"/>
      <c r="D91" s="33"/>
      <c r="E91" s="34"/>
      <c r="F91" s="35"/>
      <c r="G91" s="36"/>
      <c r="H91" s="37"/>
      <c r="I91" s="38"/>
      <c r="J91" s="39"/>
      <c r="K91" s="40"/>
      <c r="L91" s="39"/>
      <c r="M91" s="40"/>
      <c r="N91" s="40"/>
      <c r="O91" s="41"/>
      <c r="P91" s="23"/>
    </row>
    <row r="92" spans="1:16" ht="15" customHeight="1" thickBot="1" x14ac:dyDescent="0.3">
      <c r="A92" s="42" t="str">
        <f>IF(H92&lt;&gt;"",1+MAX($A$5:A91),"")</f>
        <v/>
      </c>
      <c r="B92" s="84" t="s">
        <v>108</v>
      </c>
      <c r="C92" s="84" t="s">
        <v>109</v>
      </c>
      <c r="D92" s="73"/>
      <c r="E92" s="74" t="s">
        <v>87</v>
      </c>
      <c r="F92" s="35">
        <v>38.74</v>
      </c>
      <c r="G92" s="36"/>
      <c r="H92" s="37"/>
      <c r="I92" s="38" t="s">
        <v>47</v>
      </c>
      <c r="J92" s="39"/>
      <c r="K92" s="40"/>
      <c r="L92" s="39"/>
      <c r="M92" s="40"/>
      <c r="N92" s="40"/>
      <c r="O92" s="41"/>
      <c r="P92" s="23"/>
    </row>
    <row r="93" spans="1:16" ht="15" customHeight="1" thickBot="1" x14ac:dyDescent="0.3">
      <c r="A93" s="42"/>
      <c r="B93" s="84"/>
      <c r="C93" s="84"/>
      <c r="D93" s="33"/>
      <c r="E93" s="34" t="s">
        <v>99</v>
      </c>
      <c r="F93" s="35">
        <f>(1+F92/4)*5.16</f>
        <v>55.134600000000006</v>
      </c>
      <c r="G93" s="36">
        <v>0.1</v>
      </c>
      <c r="H93" s="37">
        <f t="shared" ref="H93" si="89">F93*(1+G93)</f>
        <v>60.648060000000008</v>
      </c>
      <c r="I93" s="38" t="s">
        <v>47</v>
      </c>
      <c r="J93" s="39">
        <v>0</v>
      </c>
      <c r="K93" s="40">
        <f t="shared" ref="K93" si="90">J93*H93</f>
        <v>0</v>
      </c>
      <c r="L93" s="39">
        <v>0</v>
      </c>
      <c r="M93" s="40">
        <f t="shared" ref="M93" si="91">H93*L93</f>
        <v>0</v>
      </c>
      <c r="N93" s="40">
        <f t="shared" ref="N93" si="92">M93+K93</f>
        <v>0</v>
      </c>
      <c r="O93" s="41"/>
      <c r="P93" s="23"/>
    </row>
    <row r="94" spans="1:16" ht="15" customHeight="1" thickBot="1" x14ac:dyDescent="0.3">
      <c r="A94" s="42">
        <f>IF(H94&lt;&gt;"",1+MAX($A$5:A92),"")</f>
        <v>54</v>
      </c>
      <c r="B94" s="84"/>
      <c r="C94" s="84"/>
      <c r="D94" s="33"/>
      <c r="E94" s="34" t="s">
        <v>90</v>
      </c>
      <c r="F94" s="35">
        <f>1+F92/1.33</f>
        <v>30.127819548872182</v>
      </c>
      <c r="G94" s="36">
        <v>0.1</v>
      </c>
      <c r="H94" s="37">
        <f t="shared" ref="H94:H96" si="93">F94*(1+G94)</f>
        <v>33.140601503759406</v>
      </c>
      <c r="I94" s="38" t="s">
        <v>46</v>
      </c>
      <c r="J94" s="39">
        <v>0</v>
      </c>
      <c r="K94" s="40">
        <f t="shared" ref="K94:K96" si="94">J94*H94</f>
        <v>0</v>
      </c>
      <c r="L94" s="39">
        <v>0</v>
      </c>
      <c r="M94" s="40">
        <f t="shared" ref="M94:M96" si="95">H94*L94</f>
        <v>0</v>
      </c>
      <c r="N94" s="40">
        <f t="shared" ref="N94:N96" si="96">M94+K94</f>
        <v>0</v>
      </c>
      <c r="O94" s="41"/>
      <c r="P94" s="23"/>
    </row>
    <row r="95" spans="1:16" ht="15" customHeight="1" thickBot="1" x14ac:dyDescent="0.3">
      <c r="A95" s="42">
        <f>IF(H95&lt;&gt;"",1+MAX($A$5:A94),"")</f>
        <v>55</v>
      </c>
      <c r="B95" s="84"/>
      <c r="C95" s="84"/>
      <c r="D95" s="33"/>
      <c r="E95" s="34" t="s">
        <v>88</v>
      </c>
      <c r="F95" s="35">
        <f>F96/(0.67*1.34)</f>
        <v>222.65359768322563</v>
      </c>
      <c r="G95" s="36">
        <v>0.1</v>
      </c>
      <c r="H95" s="37">
        <f t="shared" si="93"/>
        <v>244.91895745154821</v>
      </c>
      <c r="I95" s="38" t="s">
        <v>46</v>
      </c>
      <c r="J95" s="39">
        <v>0</v>
      </c>
      <c r="K95" s="40">
        <f t="shared" si="94"/>
        <v>0</v>
      </c>
      <c r="L95" s="39">
        <v>0</v>
      </c>
      <c r="M95" s="40">
        <f t="shared" si="95"/>
        <v>0</v>
      </c>
      <c r="N95" s="40">
        <f t="shared" si="96"/>
        <v>0</v>
      </c>
      <c r="O95" s="41"/>
      <c r="P95" s="23"/>
    </row>
    <row r="96" spans="1:16" ht="15" customHeight="1" thickBot="1" x14ac:dyDescent="0.3">
      <c r="A96" s="42">
        <f>IF(H96&lt;&gt;"",1+MAX($A$5:A95),"")</f>
        <v>56</v>
      </c>
      <c r="B96" s="84"/>
      <c r="C96" s="84"/>
      <c r="D96" s="33"/>
      <c r="E96" s="34" t="s">
        <v>89</v>
      </c>
      <c r="F96" s="35">
        <f>F92*5.16</f>
        <v>199.89840000000001</v>
      </c>
      <c r="G96" s="36">
        <v>0.1</v>
      </c>
      <c r="H96" s="37">
        <f t="shared" si="93"/>
        <v>219.88824000000002</v>
      </c>
      <c r="I96" s="38" t="s">
        <v>48</v>
      </c>
      <c r="J96" s="39">
        <v>0</v>
      </c>
      <c r="K96" s="40">
        <f t="shared" si="94"/>
        <v>0</v>
      </c>
      <c r="L96" s="39">
        <v>0</v>
      </c>
      <c r="M96" s="40">
        <f t="shared" si="95"/>
        <v>0</v>
      </c>
      <c r="N96" s="40">
        <f t="shared" si="96"/>
        <v>0</v>
      </c>
      <c r="O96" s="41"/>
      <c r="P96" s="23"/>
    </row>
    <row r="97" spans="1:16" ht="15" customHeight="1" thickBot="1" x14ac:dyDescent="0.3">
      <c r="A97" s="42" t="str">
        <f>IF(H97&lt;&gt;"",1+MAX($A$5:A96),"")</f>
        <v/>
      </c>
      <c r="B97" s="84"/>
      <c r="C97" s="84"/>
      <c r="D97" s="33"/>
      <c r="E97" s="34"/>
      <c r="F97" s="35"/>
      <c r="G97" s="36"/>
      <c r="H97" s="37"/>
      <c r="I97" s="38"/>
      <c r="J97" s="39"/>
      <c r="K97" s="40"/>
      <c r="L97" s="39"/>
      <c r="M97" s="40"/>
      <c r="N97" s="40"/>
      <c r="O97" s="41"/>
      <c r="P97" s="23"/>
    </row>
    <row r="98" spans="1:16" ht="15" customHeight="1" thickBot="1" x14ac:dyDescent="0.3">
      <c r="A98" s="42" t="str">
        <f>IF(H98&lt;&gt;"",1+MAX($A$5:A97),"")</f>
        <v/>
      </c>
      <c r="B98" s="84"/>
      <c r="C98" s="84"/>
      <c r="D98" s="73"/>
      <c r="E98" s="74" t="s">
        <v>86</v>
      </c>
      <c r="F98" s="35">
        <v>103.69</v>
      </c>
      <c r="G98" s="36"/>
      <c r="H98" s="37"/>
      <c r="I98" s="38" t="s">
        <v>47</v>
      </c>
      <c r="J98" s="39"/>
      <c r="K98" s="40"/>
      <c r="L98" s="39"/>
      <c r="M98" s="40"/>
      <c r="N98" s="40"/>
      <c r="O98" s="41"/>
      <c r="P98" s="23"/>
    </row>
    <row r="99" spans="1:16" ht="15" customHeight="1" thickBot="1" x14ac:dyDescent="0.3">
      <c r="A99" s="42"/>
      <c r="B99" s="84"/>
      <c r="C99" s="84"/>
      <c r="D99" s="33"/>
      <c r="E99" s="34" t="s">
        <v>100</v>
      </c>
      <c r="F99" s="35">
        <f>(1+F98/4)*11.16</f>
        <v>300.45510000000002</v>
      </c>
      <c r="G99" s="36">
        <v>0.1</v>
      </c>
      <c r="H99" s="37">
        <f t="shared" ref="H99" si="97">F99*(1+G99)</f>
        <v>330.50061000000005</v>
      </c>
      <c r="I99" s="38" t="s">
        <v>47</v>
      </c>
      <c r="J99" s="39">
        <v>0</v>
      </c>
      <c r="K99" s="40">
        <f t="shared" ref="K99" si="98">J99*H99</f>
        <v>0</v>
      </c>
      <c r="L99" s="39">
        <v>0</v>
      </c>
      <c r="M99" s="40">
        <f t="shared" ref="M99" si="99">H99*L99</f>
        <v>0</v>
      </c>
      <c r="N99" s="40">
        <f t="shared" ref="N99" si="100">M99+K99</f>
        <v>0</v>
      </c>
      <c r="O99" s="41"/>
      <c r="P99" s="23"/>
    </row>
    <row r="100" spans="1:16" ht="15" customHeight="1" thickBot="1" x14ac:dyDescent="0.3">
      <c r="A100" s="42">
        <f>IF(H100&lt;&gt;"",1+MAX($A$5:A98),"")</f>
        <v>57</v>
      </c>
      <c r="B100" s="84"/>
      <c r="C100" s="84"/>
      <c r="D100" s="33"/>
      <c r="E100" s="34" t="s">
        <v>90</v>
      </c>
      <c r="F100" s="35">
        <f>1+F98/1.33</f>
        <v>78.962406015037587</v>
      </c>
      <c r="G100" s="36">
        <v>0.1</v>
      </c>
      <c r="H100" s="37">
        <f t="shared" ref="H100:H102" si="101">F100*(1+G100)</f>
        <v>86.85864661654135</v>
      </c>
      <c r="I100" s="38" t="s">
        <v>46</v>
      </c>
      <c r="J100" s="39">
        <v>0</v>
      </c>
      <c r="K100" s="40">
        <f t="shared" ref="K100:K102" si="102">J100*H100</f>
        <v>0</v>
      </c>
      <c r="L100" s="39">
        <v>0</v>
      </c>
      <c r="M100" s="40">
        <f t="shared" ref="M100:M102" si="103">H100*L100</f>
        <v>0</v>
      </c>
      <c r="N100" s="40">
        <f t="shared" ref="N100:N102" si="104">M100+K100</f>
        <v>0</v>
      </c>
      <c r="O100" s="41"/>
      <c r="P100" s="23"/>
    </row>
    <row r="101" spans="1:16" ht="15" customHeight="1" thickBot="1" x14ac:dyDescent="0.3">
      <c r="A101" s="42">
        <f>IF(H101&lt;&gt;"",1+MAX($A$5:A100),"")</f>
        <v>58</v>
      </c>
      <c r="B101" s="84"/>
      <c r="C101" s="84"/>
      <c r="D101" s="33"/>
      <c r="E101" s="34" t="s">
        <v>88</v>
      </c>
      <c r="F101" s="35">
        <f>F102/(0.67*1.34)</f>
        <v>1288.9066607262193</v>
      </c>
      <c r="G101" s="36">
        <v>0.1</v>
      </c>
      <c r="H101" s="37">
        <f t="shared" si="101"/>
        <v>1417.7973267988414</v>
      </c>
      <c r="I101" s="38" t="s">
        <v>46</v>
      </c>
      <c r="J101" s="39">
        <v>0</v>
      </c>
      <c r="K101" s="40">
        <f t="shared" si="102"/>
        <v>0</v>
      </c>
      <c r="L101" s="39">
        <v>0</v>
      </c>
      <c r="M101" s="40">
        <f t="shared" si="103"/>
        <v>0</v>
      </c>
      <c r="N101" s="40">
        <f t="shared" si="104"/>
        <v>0</v>
      </c>
      <c r="O101" s="41"/>
      <c r="P101" s="23"/>
    </row>
    <row r="102" spans="1:16" ht="15" customHeight="1" thickBot="1" x14ac:dyDescent="0.3">
      <c r="A102" s="42">
        <f>IF(H102&lt;&gt;"",1+MAX($A$5:A101),"")</f>
        <v>59</v>
      </c>
      <c r="B102" s="84"/>
      <c r="C102" s="84"/>
      <c r="D102" s="33"/>
      <c r="E102" s="34" t="s">
        <v>89</v>
      </c>
      <c r="F102" s="35">
        <f>F98*11.16</f>
        <v>1157.1804</v>
      </c>
      <c r="G102" s="36">
        <v>0.1</v>
      </c>
      <c r="H102" s="37">
        <f t="shared" si="101"/>
        <v>1272.8984400000002</v>
      </c>
      <c r="I102" s="38" t="s">
        <v>48</v>
      </c>
      <c r="J102" s="39">
        <v>0</v>
      </c>
      <c r="K102" s="40">
        <f t="shared" si="102"/>
        <v>0</v>
      </c>
      <c r="L102" s="39">
        <v>0</v>
      </c>
      <c r="M102" s="40">
        <f t="shared" si="103"/>
        <v>0</v>
      </c>
      <c r="N102" s="40">
        <f t="shared" si="104"/>
        <v>0</v>
      </c>
      <c r="O102" s="41"/>
      <c r="P102" s="23"/>
    </row>
    <row r="103" spans="1:16" ht="15" customHeight="1" thickBot="1" x14ac:dyDescent="0.3">
      <c r="A103" s="42" t="str">
        <f>IF(H103&lt;&gt;"",1+MAX($A$5:A102),"")</f>
        <v/>
      </c>
      <c r="B103" s="84"/>
      <c r="C103" s="84"/>
      <c r="D103" s="33"/>
      <c r="E103" s="34"/>
      <c r="F103" s="35"/>
      <c r="G103" s="36"/>
      <c r="H103" s="37"/>
      <c r="I103" s="38"/>
      <c r="J103" s="39"/>
      <c r="K103" s="40"/>
      <c r="L103" s="39"/>
      <c r="M103" s="40"/>
      <c r="N103" s="40"/>
      <c r="O103" s="41"/>
      <c r="P103" s="23"/>
    </row>
    <row r="104" spans="1:16" ht="15" customHeight="1" thickBot="1" x14ac:dyDescent="0.3">
      <c r="A104" s="42" t="str">
        <f>IF(H104&lt;&gt;"",1+MAX($A$5:A103),"")</f>
        <v/>
      </c>
      <c r="B104" s="84"/>
      <c r="C104" s="84"/>
      <c r="D104" s="73"/>
      <c r="E104" s="74" t="s">
        <v>85</v>
      </c>
      <c r="F104" s="35">
        <v>43.48</v>
      </c>
      <c r="G104" s="36"/>
      <c r="H104" s="37"/>
      <c r="I104" s="38" t="s">
        <v>47</v>
      </c>
      <c r="J104" s="39"/>
      <c r="K104" s="40"/>
      <c r="L104" s="39"/>
      <c r="M104" s="40"/>
      <c r="N104" s="40"/>
      <c r="O104" s="41"/>
      <c r="P104" s="23"/>
    </row>
    <row r="105" spans="1:16" ht="15" customHeight="1" thickBot="1" x14ac:dyDescent="0.3">
      <c r="A105" s="42"/>
      <c r="B105" s="84"/>
      <c r="C105" s="84"/>
      <c r="D105" s="33"/>
      <c r="E105" s="34" t="s">
        <v>100</v>
      </c>
      <c r="F105" s="35">
        <f>(1+F104/4)*11.16</f>
        <v>132.4692</v>
      </c>
      <c r="G105" s="36">
        <v>0.1</v>
      </c>
      <c r="H105" s="37">
        <f t="shared" ref="H105" si="105">F105*(1+G105)</f>
        <v>145.71612000000002</v>
      </c>
      <c r="I105" s="38" t="s">
        <v>47</v>
      </c>
      <c r="J105" s="39">
        <v>0</v>
      </c>
      <c r="K105" s="40">
        <f t="shared" ref="K105" si="106">J105*H105</f>
        <v>0</v>
      </c>
      <c r="L105" s="39">
        <v>0</v>
      </c>
      <c r="M105" s="40">
        <f t="shared" ref="M105" si="107">H105*L105</f>
        <v>0</v>
      </c>
      <c r="N105" s="40">
        <f t="shared" ref="N105" si="108">M105+K105</f>
        <v>0</v>
      </c>
      <c r="O105" s="41"/>
      <c r="P105" s="23"/>
    </row>
    <row r="106" spans="1:16" ht="15" customHeight="1" thickBot="1" x14ac:dyDescent="0.3">
      <c r="A106" s="42">
        <f>IF(H106&lt;&gt;"",1+MAX($A$5:A104),"")</f>
        <v>60</v>
      </c>
      <c r="B106" s="84"/>
      <c r="C106" s="84"/>
      <c r="D106" s="33"/>
      <c r="E106" s="34" t="s">
        <v>90</v>
      </c>
      <c r="F106" s="35">
        <f>1+F104/1.33</f>
        <v>33.691729323308266</v>
      </c>
      <c r="G106" s="36">
        <v>0.1</v>
      </c>
      <c r="H106" s="37">
        <f t="shared" ref="H106:H110" si="109">F106*(1+G106)</f>
        <v>37.060902255639093</v>
      </c>
      <c r="I106" s="38" t="s">
        <v>46</v>
      </c>
      <c r="J106" s="39">
        <v>0</v>
      </c>
      <c r="K106" s="40">
        <f t="shared" ref="K106:K110" si="110">J106*H106</f>
        <v>0</v>
      </c>
      <c r="L106" s="39">
        <v>0</v>
      </c>
      <c r="M106" s="40">
        <f t="shared" ref="M106:M110" si="111">H106*L106</f>
        <v>0</v>
      </c>
      <c r="N106" s="40">
        <f t="shared" ref="N106:N110" si="112">M106+K106</f>
        <v>0</v>
      </c>
      <c r="O106" s="41"/>
      <c r="P106" s="23"/>
    </row>
    <row r="107" spans="1:16" ht="15" customHeight="1" thickBot="1" x14ac:dyDescent="0.3">
      <c r="A107" s="42">
        <f>IF(H107&lt;&gt;"",1+MAX($A$5:A106),"")</f>
        <v>61</v>
      </c>
      <c r="B107" s="84"/>
      <c r="C107" s="84"/>
      <c r="D107" s="33"/>
      <c r="E107" s="34" t="s">
        <v>88</v>
      </c>
      <c r="F107" s="35">
        <f>F110/(0.67*1.34)</f>
        <v>540.47315660503443</v>
      </c>
      <c r="G107" s="36">
        <v>0.1</v>
      </c>
      <c r="H107" s="37">
        <f t="shared" si="109"/>
        <v>594.52047226553793</v>
      </c>
      <c r="I107" s="38" t="s">
        <v>46</v>
      </c>
      <c r="J107" s="39">
        <v>0</v>
      </c>
      <c r="K107" s="40">
        <f t="shared" si="110"/>
        <v>0</v>
      </c>
      <c r="L107" s="39">
        <v>0</v>
      </c>
      <c r="M107" s="40">
        <f t="shared" si="111"/>
        <v>0</v>
      </c>
      <c r="N107" s="40">
        <f t="shared" si="112"/>
        <v>0</v>
      </c>
      <c r="O107" s="41"/>
      <c r="P107" s="23"/>
    </row>
    <row r="108" spans="1:16" ht="15" customHeight="1" thickBot="1" x14ac:dyDescent="0.3">
      <c r="A108" s="42">
        <f>IF(H108&lt;&gt;"",1+MAX($A$5:A107),"")</f>
        <v>62</v>
      </c>
      <c r="B108" s="84"/>
      <c r="C108" s="84"/>
      <c r="D108" s="33"/>
      <c r="E108" s="34" t="s">
        <v>91</v>
      </c>
      <c r="F108" s="35">
        <f>1+F104/1.33</f>
        <v>33.691729323308266</v>
      </c>
      <c r="G108" s="36">
        <v>0.1</v>
      </c>
      <c r="H108" s="37">
        <f t="shared" ref="H108:H109" si="113">F108*(1+G108)</f>
        <v>37.060902255639093</v>
      </c>
      <c r="I108" s="38" t="s">
        <v>46</v>
      </c>
      <c r="J108" s="39">
        <v>0</v>
      </c>
      <c r="K108" s="40">
        <f t="shared" ref="K108:K109" si="114">J108*H108</f>
        <v>0</v>
      </c>
      <c r="L108" s="39">
        <v>0</v>
      </c>
      <c r="M108" s="40">
        <f t="shared" ref="M108:M109" si="115">H108*L108</f>
        <v>0</v>
      </c>
      <c r="N108" s="40">
        <f t="shared" ref="N108:N109" si="116">M108+K108</f>
        <v>0</v>
      </c>
      <c r="O108" s="41"/>
      <c r="P108" s="23"/>
    </row>
    <row r="109" spans="1:16" ht="15" customHeight="1" thickBot="1" x14ac:dyDescent="0.3">
      <c r="A109" s="42">
        <f>IF(H109&lt;&gt;"",1+MAX($A$5:A108),"")</f>
        <v>63</v>
      </c>
      <c r="B109" s="84"/>
      <c r="C109" s="84"/>
      <c r="D109" s="33"/>
      <c r="E109" s="34" t="s">
        <v>92</v>
      </c>
      <c r="F109" s="35">
        <f>F110/(0.67*1.34)</f>
        <v>540.47315660503443</v>
      </c>
      <c r="G109" s="36">
        <v>0.1</v>
      </c>
      <c r="H109" s="37">
        <f t="shared" si="113"/>
        <v>594.52047226553793</v>
      </c>
      <c r="I109" s="38" t="s">
        <v>46</v>
      </c>
      <c r="J109" s="39">
        <v>0</v>
      </c>
      <c r="K109" s="40">
        <f t="shared" si="114"/>
        <v>0</v>
      </c>
      <c r="L109" s="39">
        <v>0</v>
      </c>
      <c r="M109" s="40">
        <f t="shared" si="115"/>
        <v>0</v>
      </c>
      <c r="N109" s="40">
        <f t="shared" si="116"/>
        <v>0</v>
      </c>
      <c r="O109" s="41"/>
      <c r="P109" s="23"/>
    </row>
    <row r="110" spans="1:16" ht="15" customHeight="1" thickBot="1" x14ac:dyDescent="0.3">
      <c r="A110" s="42">
        <f>IF(H110&lt;&gt;"",1+MAX($A$5:A109),"")</f>
        <v>64</v>
      </c>
      <c r="B110" s="84"/>
      <c r="C110" s="84"/>
      <c r="D110" s="33"/>
      <c r="E110" s="34" t="s">
        <v>89</v>
      </c>
      <c r="F110" s="35">
        <f>F104*11.16</f>
        <v>485.23679999999996</v>
      </c>
      <c r="G110" s="36">
        <v>0.1</v>
      </c>
      <c r="H110" s="37">
        <f t="shared" si="109"/>
        <v>533.76048000000003</v>
      </c>
      <c r="I110" s="38" t="s">
        <v>48</v>
      </c>
      <c r="J110" s="39">
        <v>0</v>
      </c>
      <c r="K110" s="40">
        <f t="shared" si="110"/>
        <v>0</v>
      </c>
      <c r="L110" s="39">
        <v>0</v>
      </c>
      <c r="M110" s="40">
        <f t="shared" si="111"/>
        <v>0</v>
      </c>
      <c r="N110" s="40">
        <f t="shared" si="112"/>
        <v>0</v>
      </c>
      <c r="O110" s="41"/>
      <c r="P110" s="23"/>
    </row>
    <row r="111" spans="1:16" ht="15" customHeight="1" thickBot="1" x14ac:dyDescent="0.3">
      <c r="A111" s="42" t="str">
        <f>IF(H111&lt;&gt;"",1+MAX($A$5:A110),"")</f>
        <v/>
      </c>
      <c r="B111" s="84"/>
      <c r="C111" s="84"/>
      <c r="D111" s="33"/>
      <c r="E111" s="34"/>
      <c r="F111" s="35"/>
      <c r="G111" s="36"/>
      <c r="H111" s="37"/>
      <c r="I111" s="38"/>
      <c r="J111" s="39"/>
      <c r="K111" s="40"/>
      <c r="L111" s="39"/>
      <c r="M111" s="40"/>
      <c r="N111" s="40"/>
      <c r="O111" s="41"/>
      <c r="P111" s="23"/>
    </row>
    <row r="112" spans="1:16" ht="15" customHeight="1" thickBot="1" x14ac:dyDescent="0.3">
      <c r="A112" s="42" t="str">
        <f>IF(H112&lt;&gt;"",1+MAX($A$5:A111),"")</f>
        <v/>
      </c>
      <c r="B112" s="84"/>
      <c r="C112" s="84"/>
      <c r="D112" s="73"/>
      <c r="E112" s="74" t="s">
        <v>84</v>
      </c>
      <c r="F112" s="35">
        <v>155.99</v>
      </c>
      <c r="G112" s="36"/>
      <c r="H112" s="37"/>
      <c r="I112" s="38" t="s">
        <v>47</v>
      </c>
      <c r="J112" s="39"/>
      <c r="K112" s="40"/>
      <c r="L112" s="39"/>
      <c r="M112" s="40"/>
      <c r="N112" s="40"/>
      <c r="O112" s="41"/>
      <c r="P112" s="23"/>
    </row>
    <row r="113" spans="1:16" ht="15" customHeight="1" thickBot="1" x14ac:dyDescent="0.3">
      <c r="A113" s="42"/>
      <c r="B113" s="84"/>
      <c r="C113" s="84"/>
      <c r="D113" s="33"/>
      <c r="E113" s="34" t="s">
        <v>103</v>
      </c>
      <c r="F113" s="35">
        <f>(1+F112/4)*8.67</f>
        <v>346.778325</v>
      </c>
      <c r="G113" s="36">
        <v>0.1</v>
      </c>
      <c r="H113" s="37">
        <f t="shared" ref="H113" si="117">F113*(1+G113)</f>
        <v>381.45615750000002</v>
      </c>
      <c r="I113" s="38" t="s">
        <v>47</v>
      </c>
      <c r="J113" s="39">
        <v>0</v>
      </c>
      <c r="K113" s="40">
        <f t="shared" ref="K113" si="118">J113*H113</f>
        <v>0</v>
      </c>
      <c r="L113" s="39">
        <v>0</v>
      </c>
      <c r="M113" s="40">
        <f t="shared" ref="M113" si="119">H113*L113</f>
        <v>0</v>
      </c>
      <c r="N113" s="40">
        <f t="shared" ref="N113" si="120">M113+K113</f>
        <v>0</v>
      </c>
      <c r="O113" s="41"/>
      <c r="P113" s="23"/>
    </row>
    <row r="114" spans="1:16" ht="15" customHeight="1" thickBot="1" x14ac:dyDescent="0.3">
      <c r="A114" s="42">
        <f>IF(H114&lt;&gt;"",1+MAX($A$5:A112),"")</f>
        <v>65</v>
      </c>
      <c r="B114" s="84"/>
      <c r="C114" s="84"/>
      <c r="D114" s="33"/>
      <c r="E114" s="34" t="s">
        <v>93</v>
      </c>
      <c r="F114" s="35">
        <f>1+F112/1.33</f>
        <v>118.28571428571429</v>
      </c>
      <c r="G114" s="36">
        <v>0.1</v>
      </c>
      <c r="H114" s="37">
        <f t="shared" ref="H114:H116" si="121">F114*(1+G114)</f>
        <v>130.11428571428573</v>
      </c>
      <c r="I114" s="38" t="s">
        <v>46</v>
      </c>
      <c r="J114" s="39">
        <v>0</v>
      </c>
      <c r="K114" s="40">
        <f t="shared" ref="K114:K116" si="122">J114*H114</f>
        <v>0</v>
      </c>
      <c r="L114" s="39">
        <v>0</v>
      </c>
      <c r="M114" s="40">
        <f t="shared" ref="M114:M116" si="123">H114*L114</f>
        <v>0</v>
      </c>
      <c r="N114" s="40">
        <f t="shared" ref="N114:N116" si="124">M114+K114</f>
        <v>0</v>
      </c>
      <c r="O114" s="41"/>
      <c r="P114" s="23"/>
    </row>
    <row r="115" spans="1:16" ht="15" customHeight="1" thickBot="1" x14ac:dyDescent="0.3">
      <c r="A115" s="42">
        <f>IF(H115&lt;&gt;"",1+MAX($A$5:A114),"")</f>
        <v>66</v>
      </c>
      <c r="B115" s="84"/>
      <c r="C115" s="84"/>
      <c r="D115" s="33"/>
      <c r="E115" s="34" t="s">
        <v>94</v>
      </c>
      <c r="F115" s="35">
        <f>F116/(0.67*1.34)</f>
        <v>1506.3859434172421</v>
      </c>
      <c r="G115" s="36">
        <v>0.1</v>
      </c>
      <c r="H115" s="37">
        <f t="shared" si="121"/>
        <v>1657.0245377589663</v>
      </c>
      <c r="I115" s="38" t="s">
        <v>46</v>
      </c>
      <c r="J115" s="39">
        <v>0</v>
      </c>
      <c r="K115" s="40">
        <f t="shared" si="122"/>
        <v>0</v>
      </c>
      <c r="L115" s="39">
        <v>0</v>
      </c>
      <c r="M115" s="40">
        <f t="shared" si="123"/>
        <v>0</v>
      </c>
      <c r="N115" s="40">
        <f t="shared" si="124"/>
        <v>0</v>
      </c>
      <c r="O115" s="41"/>
      <c r="P115" s="23"/>
    </row>
    <row r="116" spans="1:16" ht="15" customHeight="1" thickBot="1" x14ac:dyDescent="0.3">
      <c r="A116" s="42">
        <f>IF(H116&lt;&gt;"",1+MAX($A$5:A115),"")</f>
        <v>67</v>
      </c>
      <c r="B116" s="84"/>
      <c r="C116" s="84"/>
      <c r="D116" s="33"/>
      <c r="E116" s="34" t="s">
        <v>89</v>
      </c>
      <c r="F116" s="35">
        <f>F112*8.67</f>
        <v>1352.4333000000001</v>
      </c>
      <c r="G116" s="36">
        <v>0.1</v>
      </c>
      <c r="H116" s="37">
        <f t="shared" si="121"/>
        <v>1487.6766300000004</v>
      </c>
      <c r="I116" s="38" t="s">
        <v>48</v>
      </c>
      <c r="J116" s="39">
        <v>0</v>
      </c>
      <c r="K116" s="40">
        <f t="shared" si="122"/>
        <v>0</v>
      </c>
      <c r="L116" s="39">
        <v>0</v>
      </c>
      <c r="M116" s="40">
        <f t="shared" si="123"/>
        <v>0</v>
      </c>
      <c r="N116" s="40">
        <f t="shared" si="124"/>
        <v>0</v>
      </c>
      <c r="O116" s="41"/>
      <c r="P116" s="23"/>
    </row>
    <row r="117" spans="1:16" ht="15" customHeight="1" thickBot="1" x14ac:dyDescent="0.3">
      <c r="A117" s="42" t="str">
        <f>IF(H117&lt;&gt;"",1+MAX($A$5:A116),"")</f>
        <v/>
      </c>
      <c r="B117" s="84"/>
      <c r="C117" s="84"/>
      <c r="D117" s="33"/>
      <c r="E117" s="34"/>
      <c r="F117" s="35"/>
      <c r="G117" s="36"/>
      <c r="H117" s="37"/>
      <c r="I117" s="38"/>
      <c r="J117" s="39"/>
      <c r="K117" s="40"/>
      <c r="L117" s="39"/>
      <c r="M117" s="40"/>
      <c r="N117" s="40"/>
      <c r="O117" s="41"/>
      <c r="P117" s="23"/>
    </row>
    <row r="118" spans="1:16" ht="15" customHeight="1" thickBot="1" x14ac:dyDescent="0.3">
      <c r="A118" s="42" t="str">
        <f>IF(H118&lt;&gt;"",1+MAX($A$5:A117),"")</f>
        <v/>
      </c>
      <c r="B118" s="84"/>
      <c r="C118" s="84"/>
      <c r="D118" s="73"/>
      <c r="E118" s="74" t="s">
        <v>83</v>
      </c>
      <c r="F118" s="35">
        <v>126.74</v>
      </c>
      <c r="G118" s="36"/>
      <c r="H118" s="37"/>
      <c r="I118" s="38" t="s">
        <v>47</v>
      </c>
      <c r="J118" s="39"/>
      <c r="K118" s="40"/>
      <c r="L118" s="39"/>
      <c r="M118" s="40"/>
      <c r="N118" s="40"/>
      <c r="O118" s="41"/>
      <c r="P118" s="23"/>
    </row>
    <row r="119" spans="1:16" ht="15" customHeight="1" thickBot="1" x14ac:dyDescent="0.3">
      <c r="A119" s="42"/>
      <c r="B119" s="84"/>
      <c r="C119" s="84"/>
      <c r="D119" s="33"/>
      <c r="E119" s="34" t="s">
        <v>102</v>
      </c>
      <c r="F119" s="35">
        <f>(1+F118/4)*14.67</f>
        <v>479.48895000000005</v>
      </c>
      <c r="G119" s="36">
        <v>0.1</v>
      </c>
      <c r="H119" s="37">
        <f t="shared" ref="H119" si="125">F119*(1+G119)</f>
        <v>527.43784500000004</v>
      </c>
      <c r="I119" s="38" t="s">
        <v>47</v>
      </c>
      <c r="J119" s="39">
        <v>0</v>
      </c>
      <c r="K119" s="40">
        <f t="shared" ref="K119" si="126">J119*H119</f>
        <v>0</v>
      </c>
      <c r="L119" s="39">
        <v>0</v>
      </c>
      <c r="M119" s="40">
        <f t="shared" ref="M119" si="127">H119*L119</f>
        <v>0</v>
      </c>
      <c r="N119" s="40">
        <f t="shared" ref="N119" si="128">M119+K119</f>
        <v>0</v>
      </c>
      <c r="O119" s="41"/>
      <c r="P119" s="23"/>
    </row>
    <row r="120" spans="1:16" ht="15" customHeight="1" thickBot="1" x14ac:dyDescent="0.3">
      <c r="A120" s="42">
        <f>IF(H120&lt;&gt;"",1+MAX($A$5:A118),"")</f>
        <v>68</v>
      </c>
      <c r="B120" s="84"/>
      <c r="C120" s="84"/>
      <c r="D120" s="33"/>
      <c r="E120" s="34" t="s">
        <v>93</v>
      </c>
      <c r="F120" s="35">
        <f>1+F118/1.33</f>
        <v>96.293233082706763</v>
      </c>
      <c r="G120" s="36">
        <v>0.1</v>
      </c>
      <c r="H120" s="37">
        <f t="shared" ref="H120:H122" si="129">F120*(1+G120)</f>
        <v>105.92255639097745</v>
      </c>
      <c r="I120" s="38" t="s">
        <v>46</v>
      </c>
      <c r="J120" s="39">
        <v>0</v>
      </c>
      <c r="K120" s="40">
        <f t="shared" ref="K120:K122" si="130">J120*H120</f>
        <v>0</v>
      </c>
      <c r="L120" s="39">
        <v>0</v>
      </c>
      <c r="M120" s="40">
        <f t="shared" ref="M120:M122" si="131">H120*L120</f>
        <v>0</v>
      </c>
      <c r="N120" s="40">
        <f t="shared" ref="N120:N122" si="132">M120+K120</f>
        <v>0</v>
      </c>
      <c r="O120" s="41"/>
      <c r="P120" s="23"/>
    </row>
    <row r="121" spans="1:16" ht="15" customHeight="1" thickBot="1" x14ac:dyDescent="0.3">
      <c r="A121" s="42">
        <f>IF(H121&lt;&gt;"",1+MAX($A$5:A120),"")</f>
        <v>69</v>
      </c>
      <c r="B121" s="84"/>
      <c r="C121" s="84"/>
      <c r="D121" s="33"/>
      <c r="E121" s="34" t="s">
        <v>94</v>
      </c>
      <c r="F121" s="35">
        <f>F122/(0.67*1.34)</f>
        <v>2070.9242593005119</v>
      </c>
      <c r="G121" s="36">
        <v>0.1</v>
      </c>
      <c r="H121" s="37">
        <f t="shared" si="129"/>
        <v>2278.0166852305633</v>
      </c>
      <c r="I121" s="38" t="s">
        <v>46</v>
      </c>
      <c r="J121" s="39">
        <v>0</v>
      </c>
      <c r="K121" s="40">
        <f t="shared" si="130"/>
        <v>0</v>
      </c>
      <c r="L121" s="39">
        <v>0</v>
      </c>
      <c r="M121" s="40">
        <f t="shared" si="131"/>
        <v>0</v>
      </c>
      <c r="N121" s="40">
        <f t="shared" si="132"/>
        <v>0</v>
      </c>
      <c r="O121" s="41"/>
      <c r="P121" s="23"/>
    </row>
    <row r="122" spans="1:16" ht="15" customHeight="1" thickBot="1" x14ac:dyDescent="0.3">
      <c r="A122" s="42">
        <f>IF(H122&lt;&gt;"",1+MAX($A$5:A121),"")</f>
        <v>70</v>
      </c>
      <c r="B122" s="84"/>
      <c r="C122" s="84"/>
      <c r="D122" s="33"/>
      <c r="E122" s="34" t="s">
        <v>89</v>
      </c>
      <c r="F122" s="35">
        <f>F118*14.67</f>
        <v>1859.2757999999999</v>
      </c>
      <c r="G122" s="36">
        <v>0.1</v>
      </c>
      <c r="H122" s="37">
        <f t="shared" si="129"/>
        <v>2045.2033800000002</v>
      </c>
      <c r="I122" s="38" t="s">
        <v>48</v>
      </c>
      <c r="J122" s="39">
        <v>0</v>
      </c>
      <c r="K122" s="40">
        <f t="shared" si="130"/>
        <v>0</v>
      </c>
      <c r="L122" s="39">
        <v>0</v>
      </c>
      <c r="M122" s="40">
        <f t="shared" si="131"/>
        <v>0</v>
      </c>
      <c r="N122" s="40">
        <f t="shared" si="132"/>
        <v>0</v>
      </c>
      <c r="O122" s="41"/>
      <c r="P122" s="23"/>
    </row>
    <row r="123" spans="1:16" ht="15" customHeight="1" thickBot="1" x14ac:dyDescent="0.3">
      <c r="A123" s="42" t="str">
        <f>IF(H123&lt;&gt;"",1+MAX($A$5:A122),"")</f>
        <v/>
      </c>
      <c r="B123" s="84"/>
      <c r="C123" s="84"/>
      <c r="D123" s="33"/>
      <c r="E123" s="34"/>
      <c r="F123" s="35"/>
      <c r="G123" s="36"/>
      <c r="H123" s="37"/>
      <c r="I123" s="38"/>
      <c r="J123" s="39"/>
      <c r="K123" s="40"/>
      <c r="L123" s="39"/>
      <c r="M123" s="40"/>
      <c r="N123" s="40"/>
      <c r="O123" s="41"/>
      <c r="P123" s="23"/>
    </row>
    <row r="124" spans="1:16" ht="15" customHeight="1" thickBot="1" x14ac:dyDescent="0.3">
      <c r="A124" s="42" t="str">
        <f>IF(H124&lt;&gt;"",1+MAX($A$5:A123),"")</f>
        <v/>
      </c>
      <c r="B124" s="84"/>
      <c r="C124" s="84"/>
      <c r="D124" s="73"/>
      <c r="E124" s="74" t="s">
        <v>82</v>
      </c>
      <c r="F124" s="35">
        <v>27.22</v>
      </c>
      <c r="G124" s="36"/>
      <c r="H124" s="37"/>
      <c r="I124" s="38" t="s">
        <v>47</v>
      </c>
      <c r="J124" s="39"/>
      <c r="K124" s="40"/>
      <c r="L124" s="39"/>
      <c r="M124" s="40"/>
      <c r="N124" s="40"/>
      <c r="O124" s="41"/>
      <c r="P124" s="23"/>
    </row>
    <row r="125" spans="1:16" ht="15" customHeight="1" thickBot="1" x14ac:dyDescent="0.3">
      <c r="A125" s="42"/>
      <c r="B125" s="84"/>
      <c r="C125" s="84"/>
      <c r="D125" s="33"/>
      <c r="E125" s="34" t="s">
        <v>99</v>
      </c>
      <c r="F125" s="35">
        <f>(1+F124/4)*5.16</f>
        <v>40.273800000000001</v>
      </c>
      <c r="G125" s="36">
        <v>0.1</v>
      </c>
      <c r="H125" s="37">
        <f t="shared" ref="H125" si="133">F125*(1+G125)</f>
        <v>44.301180000000002</v>
      </c>
      <c r="I125" s="38" t="s">
        <v>47</v>
      </c>
      <c r="J125" s="39">
        <v>0</v>
      </c>
      <c r="K125" s="40">
        <f t="shared" ref="K125" si="134">J125*H125</f>
        <v>0</v>
      </c>
      <c r="L125" s="39">
        <v>0</v>
      </c>
      <c r="M125" s="40">
        <f t="shared" ref="M125" si="135">H125*L125</f>
        <v>0</v>
      </c>
      <c r="N125" s="40">
        <f t="shared" ref="N125" si="136">M125+K125</f>
        <v>0</v>
      </c>
      <c r="O125" s="41"/>
      <c r="P125" s="23"/>
    </row>
    <row r="126" spans="1:16" ht="15" customHeight="1" thickBot="1" x14ac:dyDescent="0.3">
      <c r="A126" s="42">
        <f>IF(H126&lt;&gt;"",1+MAX($A$5:A124),"")</f>
        <v>71</v>
      </c>
      <c r="B126" s="84"/>
      <c r="C126" s="84"/>
      <c r="D126" s="33"/>
      <c r="E126" s="34" t="s">
        <v>93</v>
      </c>
      <c r="F126" s="35">
        <f>1+F124/1.33</f>
        <v>21.466165413533833</v>
      </c>
      <c r="G126" s="36">
        <v>0.1</v>
      </c>
      <c r="H126" s="37">
        <f t="shared" ref="H126:H128" si="137">F126*(1+G126)</f>
        <v>23.612781954887218</v>
      </c>
      <c r="I126" s="38" t="s">
        <v>46</v>
      </c>
      <c r="J126" s="39">
        <v>0</v>
      </c>
      <c r="K126" s="40">
        <f t="shared" ref="K126:K128" si="138">J126*H126</f>
        <v>0</v>
      </c>
      <c r="L126" s="39">
        <v>0</v>
      </c>
      <c r="M126" s="40">
        <f t="shared" ref="M126:M128" si="139">H126*L126</f>
        <v>0</v>
      </c>
      <c r="N126" s="40">
        <f t="shared" ref="N126:N128" si="140">M126+K126</f>
        <v>0</v>
      </c>
      <c r="O126" s="41"/>
      <c r="P126" s="23"/>
    </row>
    <row r="127" spans="1:16" ht="15" customHeight="1" thickBot="1" x14ac:dyDescent="0.3">
      <c r="A127" s="42">
        <f>IF(H127&lt;&gt;"",1+MAX($A$5:A126),"")</f>
        <v>72</v>
      </c>
      <c r="B127" s="84"/>
      <c r="C127" s="84"/>
      <c r="D127" s="33"/>
      <c r="E127" s="34" t="s">
        <v>94</v>
      </c>
      <c r="F127" s="35">
        <f>F128/(0.67*1.34)</f>
        <v>156.44375139229223</v>
      </c>
      <c r="G127" s="36">
        <v>0.1</v>
      </c>
      <c r="H127" s="37">
        <f t="shared" si="137"/>
        <v>172.08812653152145</v>
      </c>
      <c r="I127" s="38" t="s">
        <v>46</v>
      </c>
      <c r="J127" s="39">
        <v>0</v>
      </c>
      <c r="K127" s="40">
        <f t="shared" si="138"/>
        <v>0</v>
      </c>
      <c r="L127" s="39">
        <v>0</v>
      </c>
      <c r="M127" s="40">
        <f t="shared" si="139"/>
        <v>0</v>
      </c>
      <c r="N127" s="40">
        <f t="shared" si="140"/>
        <v>0</v>
      </c>
      <c r="O127" s="41"/>
      <c r="P127" s="23"/>
    </row>
    <row r="128" spans="1:16" ht="15" customHeight="1" thickBot="1" x14ac:dyDescent="0.3">
      <c r="A128" s="42">
        <f>IF(H128&lt;&gt;"",1+MAX($A$5:A127),"")</f>
        <v>73</v>
      </c>
      <c r="B128" s="84"/>
      <c r="C128" s="84"/>
      <c r="D128" s="33"/>
      <c r="E128" s="34" t="s">
        <v>89</v>
      </c>
      <c r="F128" s="35">
        <f>F124*5.16</f>
        <v>140.45519999999999</v>
      </c>
      <c r="G128" s="36">
        <v>0.1</v>
      </c>
      <c r="H128" s="37">
        <f t="shared" si="137"/>
        <v>154.50072</v>
      </c>
      <c r="I128" s="38" t="s">
        <v>48</v>
      </c>
      <c r="J128" s="39">
        <v>0</v>
      </c>
      <c r="K128" s="40">
        <f t="shared" si="138"/>
        <v>0</v>
      </c>
      <c r="L128" s="39">
        <v>0</v>
      </c>
      <c r="M128" s="40">
        <f t="shared" si="139"/>
        <v>0</v>
      </c>
      <c r="N128" s="40">
        <f t="shared" si="140"/>
        <v>0</v>
      </c>
      <c r="O128" s="41"/>
      <c r="P128" s="23"/>
    </row>
    <row r="129" spans="1:16" ht="15" customHeight="1" thickBot="1" x14ac:dyDescent="0.3">
      <c r="A129" s="42" t="str">
        <f>IF(H129&lt;&gt;"",1+MAX($A$5:A128),"")</f>
        <v/>
      </c>
      <c r="B129" s="84"/>
      <c r="C129" s="84"/>
      <c r="D129" s="33"/>
      <c r="E129" s="34"/>
      <c r="F129" s="35"/>
      <c r="G129" s="36"/>
      <c r="H129" s="37"/>
      <c r="I129" s="38"/>
      <c r="J129" s="39"/>
      <c r="K129" s="40"/>
      <c r="L129" s="39"/>
      <c r="M129" s="40"/>
      <c r="N129" s="40"/>
      <c r="O129" s="41"/>
      <c r="P129" s="23"/>
    </row>
    <row r="130" spans="1:16" ht="15" customHeight="1" thickBot="1" x14ac:dyDescent="0.3">
      <c r="A130" s="42" t="str">
        <f>IF(H130&lt;&gt;"",1+MAX($A$5:A129),"")</f>
        <v/>
      </c>
      <c r="B130" s="84"/>
      <c r="C130" s="84"/>
      <c r="D130" s="73"/>
      <c r="E130" s="74" t="s">
        <v>81</v>
      </c>
      <c r="F130" s="35">
        <v>291.99</v>
      </c>
      <c r="G130" s="36"/>
      <c r="H130" s="37"/>
      <c r="I130" s="38" t="s">
        <v>47</v>
      </c>
      <c r="J130" s="39"/>
      <c r="K130" s="40"/>
      <c r="L130" s="39"/>
      <c r="M130" s="40"/>
      <c r="N130" s="40"/>
      <c r="O130" s="41"/>
      <c r="P130" s="23"/>
    </row>
    <row r="131" spans="1:16" ht="15" customHeight="1" thickBot="1" x14ac:dyDescent="0.3">
      <c r="A131" s="42"/>
      <c r="B131" s="84"/>
      <c r="C131" s="84"/>
      <c r="D131" s="33"/>
      <c r="E131" s="34" t="s">
        <v>100</v>
      </c>
      <c r="F131" s="35">
        <f>(1+F130/4)*11.16</f>
        <v>825.81209999999999</v>
      </c>
      <c r="G131" s="36">
        <v>0.1</v>
      </c>
      <c r="H131" s="37">
        <f t="shared" ref="H131" si="141">F131*(1+G131)</f>
        <v>908.39331000000004</v>
      </c>
      <c r="I131" s="38" t="s">
        <v>47</v>
      </c>
      <c r="J131" s="39">
        <v>0</v>
      </c>
      <c r="K131" s="40">
        <f t="shared" ref="K131" si="142">J131*H131</f>
        <v>0</v>
      </c>
      <c r="L131" s="39">
        <v>0</v>
      </c>
      <c r="M131" s="40">
        <f t="shared" ref="M131" si="143">H131*L131</f>
        <v>0</v>
      </c>
      <c r="N131" s="40">
        <f t="shared" ref="N131" si="144">M131+K131</f>
        <v>0</v>
      </c>
      <c r="O131" s="41"/>
      <c r="P131" s="23"/>
    </row>
    <row r="132" spans="1:16" ht="15" customHeight="1" thickBot="1" x14ac:dyDescent="0.3">
      <c r="A132" s="42">
        <f>IF(H132&lt;&gt;"",1+MAX($A$5:A130),"")</f>
        <v>74</v>
      </c>
      <c r="B132" s="84"/>
      <c r="C132" s="84"/>
      <c r="D132" s="33"/>
      <c r="E132" s="34" t="s">
        <v>93</v>
      </c>
      <c r="F132" s="35">
        <f>1+F130/1.33</f>
        <v>220.54135338345864</v>
      </c>
      <c r="G132" s="36">
        <v>0.1</v>
      </c>
      <c r="H132" s="37">
        <f t="shared" ref="H132:H134" si="145">F132*(1+G132)</f>
        <v>242.59548872180451</v>
      </c>
      <c r="I132" s="38" t="s">
        <v>46</v>
      </c>
      <c r="J132" s="39">
        <v>0</v>
      </c>
      <c r="K132" s="40">
        <f t="shared" ref="K132:K134" si="146">J132*H132</f>
        <v>0</v>
      </c>
      <c r="L132" s="39">
        <v>0</v>
      </c>
      <c r="M132" s="40">
        <f t="shared" ref="M132:M134" si="147">H132*L132</f>
        <v>0</v>
      </c>
      <c r="N132" s="40">
        <f t="shared" ref="N132:N134" si="148">M132+K132</f>
        <v>0</v>
      </c>
      <c r="O132" s="41"/>
      <c r="P132" s="23"/>
    </row>
    <row r="133" spans="1:16" ht="15" customHeight="1" thickBot="1" x14ac:dyDescent="0.3">
      <c r="A133" s="42">
        <f>IF(H133&lt;&gt;"",1+MAX($A$5:A132),"")</f>
        <v>75</v>
      </c>
      <c r="B133" s="84"/>
      <c r="C133" s="84"/>
      <c r="D133" s="33"/>
      <c r="E133" s="34" t="s">
        <v>94</v>
      </c>
      <c r="F133" s="35">
        <f>F134/(0.67*1.34)</f>
        <v>3629.5482290042319</v>
      </c>
      <c r="G133" s="36">
        <v>0.1</v>
      </c>
      <c r="H133" s="37">
        <f t="shared" si="145"/>
        <v>3992.5030519046554</v>
      </c>
      <c r="I133" s="38" t="s">
        <v>46</v>
      </c>
      <c r="J133" s="39">
        <v>0</v>
      </c>
      <c r="K133" s="40">
        <f t="shared" si="146"/>
        <v>0</v>
      </c>
      <c r="L133" s="39">
        <v>0</v>
      </c>
      <c r="M133" s="40">
        <f t="shared" si="147"/>
        <v>0</v>
      </c>
      <c r="N133" s="40">
        <f t="shared" si="148"/>
        <v>0</v>
      </c>
      <c r="O133" s="41"/>
      <c r="P133" s="23"/>
    </row>
    <row r="134" spans="1:16" ht="15" customHeight="1" thickBot="1" x14ac:dyDescent="0.3">
      <c r="A134" s="42">
        <f>IF(H134&lt;&gt;"",1+MAX($A$5:A133),"")</f>
        <v>76</v>
      </c>
      <c r="B134" s="84"/>
      <c r="C134" s="84"/>
      <c r="D134" s="33"/>
      <c r="E134" s="34" t="s">
        <v>89</v>
      </c>
      <c r="F134" s="35">
        <f>F130*11.16</f>
        <v>3258.6084000000001</v>
      </c>
      <c r="G134" s="36">
        <v>0.1</v>
      </c>
      <c r="H134" s="37">
        <f t="shared" si="145"/>
        <v>3584.4692400000004</v>
      </c>
      <c r="I134" s="38" t="s">
        <v>48</v>
      </c>
      <c r="J134" s="39">
        <v>0</v>
      </c>
      <c r="K134" s="40">
        <f t="shared" si="146"/>
        <v>0</v>
      </c>
      <c r="L134" s="39">
        <v>0</v>
      </c>
      <c r="M134" s="40">
        <f t="shared" si="147"/>
        <v>0</v>
      </c>
      <c r="N134" s="40">
        <f t="shared" si="148"/>
        <v>0</v>
      </c>
      <c r="O134" s="41"/>
      <c r="P134" s="23"/>
    </row>
    <row r="135" spans="1:16" ht="15" customHeight="1" thickBot="1" x14ac:dyDescent="0.3">
      <c r="A135" s="42" t="str">
        <f>IF(H135&lt;&gt;"",1+MAX($A$5:A134),"")</f>
        <v/>
      </c>
      <c r="B135" s="84"/>
      <c r="C135" s="84"/>
      <c r="D135" s="33"/>
      <c r="E135" s="34"/>
      <c r="F135" s="35"/>
      <c r="G135" s="36"/>
      <c r="H135" s="37"/>
      <c r="I135" s="38"/>
      <c r="J135" s="39"/>
      <c r="K135" s="40"/>
      <c r="L135" s="39"/>
      <c r="M135" s="40"/>
      <c r="N135" s="40"/>
      <c r="O135" s="41"/>
      <c r="P135" s="23"/>
    </row>
    <row r="136" spans="1:16" ht="15" customHeight="1" thickBot="1" x14ac:dyDescent="0.3">
      <c r="A136" s="42" t="str">
        <f>IF(H136&lt;&gt;"",1+MAX($A$5:A135),"")</f>
        <v/>
      </c>
      <c r="B136" s="84"/>
      <c r="C136" s="84"/>
      <c r="D136" s="73"/>
      <c r="E136" s="74" t="s">
        <v>80</v>
      </c>
      <c r="F136" s="35">
        <v>7.85</v>
      </c>
      <c r="G136" s="36"/>
      <c r="H136" s="37"/>
      <c r="I136" s="38" t="s">
        <v>47</v>
      </c>
      <c r="J136" s="39"/>
      <c r="K136" s="40"/>
      <c r="L136" s="39"/>
      <c r="M136" s="40"/>
      <c r="N136" s="40"/>
      <c r="O136" s="41"/>
      <c r="P136" s="23"/>
    </row>
    <row r="137" spans="1:16" ht="15" customHeight="1" thickBot="1" x14ac:dyDescent="0.3">
      <c r="A137" s="42"/>
      <c r="B137" s="84"/>
      <c r="C137" s="84"/>
      <c r="D137" s="33"/>
      <c r="E137" s="34" t="s">
        <v>100</v>
      </c>
      <c r="F137" s="35">
        <f>(1+F136/4)*11.16</f>
        <v>33.061500000000002</v>
      </c>
      <c r="G137" s="36">
        <v>0.1</v>
      </c>
      <c r="H137" s="37">
        <f t="shared" ref="H137" si="149">F137*(1+G137)</f>
        <v>36.367650000000005</v>
      </c>
      <c r="I137" s="38" t="s">
        <v>47</v>
      </c>
      <c r="J137" s="39">
        <v>0</v>
      </c>
      <c r="K137" s="40">
        <f t="shared" ref="K137" si="150">J137*H137</f>
        <v>0</v>
      </c>
      <c r="L137" s="39">
        <v>0</v>
      </c>
      <c r="M137" s="40">
        <f t="shared" ref="M137" si="151">H137*L137</f>
        <v>0</v>
      </c>
      <c r="N137" s="40">
        <f t="shared" ref="N137" si="152">M137+K137</f>
        <v>0</v>
      </c>
      <c r="O137" s="41"/>
      <c r="P137" s="23"/>
    </row>
    <row r="138" spans="1:16" ht="15" customHeight="1" thickBot="1" x14ac:dyDescent="0.3">
      <c r="A138" s="42">
        <f>IF(H138&lt;&gt;"",1+MAX($A$5:A136),"")</f>
        <v>77</v>
      </c>
      <c r="B138" s="84"/>
      <c r="C138" s="84"/>
      <c r="D138" s="33"/>
      <c r="E138" s="34" t="s">
        <v>93</v>
      </c>
      <c r="F138" s="35">
        <f>1+F136/1.33</f>
        <v>6.9022556390977439</v>
      </c>
      <c r="G138" s="36">
        <v>0.1</v>
      </c>
      <c r="H138" s="37">
        <f t="shared" ref="H138:H142" si="153">F138*(1+G138)</f>
        <v>7.5924812030075186</v>
      </c>
      <c r="I138" s="38" t="s">
        <v>46</v>
      </c>
      <c r="J138" s="39">
        <v>0</v>
      </c>
      <c r="K138" s="40">
        <f t="shared" ref="K138:K142" si="154">J138*H138</f>
        <v>0</v>
      </c>
      <c r="L138" s="39">
        <v>0</v>
      </c>
      <c r="M138" s="40">
        <f t="shared" ref="M138:M142" si="155">H138*L138</f>
        <v>0</v>
      </c>
      <c r="N138" s="40">
        <f t="shared" ref="N138:N142" si="156">M138+K138</f>
        <v>0</v>
      </c>
      <c r="O138" s="41"/>
      <c r="P138" s="23"/>
    </row>
    <row r="139" spans="1:16" ht="15" customHeight="1" thickBot="1" x14ac:dyDescent="0.3">
      <c r="A139" s="42">
        <f>IF(H139&lt;&gt;"",1+MAX($A$5:A138),"")</f>
        <v>78</v>
      </c>
      <c r="B139" s="84"/>
      <c r="C139" s="84"/>
      <c r="D139" s="33"/>
      <c r="E139" s="34" t="s">
        <v>94</v>
      </c>
      <c r="F139" s="35">
        <f>F142/(0.67*1.34)</f>
        <v>97.578525284027606</v>
      </c>
      <c r="G139" s="36">
        <v>0.1</v>
      </c>
      <c r="H139" s="37">
        <f t="shared" si="153"/>
        <v>107.33637781243037</v>
      </c>
      <c r="I139" s="38" t="s">
        <v>46</v>
      </c>
      <c r="J139" s="39">
        <v>0</v>
      </c>
      <c r="K139" s="40">
        <f t="shared" si="154"/>
        <v>0</v>
      </c>
      <c r="L139" s="39">
        <v>0</v>
      </c>
      <c r="M139" s="40">
        <f t="shared" si="155"/>
        <v>0</v>
      </c>
      <c r="N139" s="40">
        <f t="shared" si="156"/>
        <v>0</v>
      </c>
      <c r="O139" s="41"/>
      <c r="P139" s="23"/>
    </row>
    <row r="140" spans="1:16" ht="15" customHeight="1" thickBot="1" x14ac:dyDescent="0.3">
      <c r="A140" s="42">
        <f>IF(H140&lt;&gt;"",1+MAX($A$5:A139),"")</f>
        <v>79</v>
      </c>
      <c r="B140" s="84"/>
      <c r="C140" s="84"/>
      <c r="D140" s="33"/>
      <c r="E140" s="34" t="s">
        <v>91</v>
      </c>
      <c r="F140" s="35">
        <f>1+F136/1.33</f>
        <v>6.9022556390977439</v>
      </c>
      <c r="G140" s="36">
        <v>0.1</v>
      </c>
      <c r="H140" s="37">
        <f t="shared" si="153"/>
        <v>7.5924812030075186</v>
      </c>
      <c r="I140" s="38" t="s">
        <v>46</v>
      </c>
      <c r="J140" s="39">
        <v>0</v>
      </c>
      <c r="K140" s="40">
        <f t="shared" si="154"/>
        <v>0</v>
      </c>
      <c r="L140" s="39">
        <v>0</v>
      </c>
      <c r="M140" s="40">
        <f t="shared" si="155"/>
        <v>0</v>
      </c>
      <c r="N140" s="40">
        <f t="shared" si="156"/>
        <v>0</v>
      </c>
      <c r="O140" s="41"/>
      <c r="P140" s="23"/>
    </row>
    <row r="141" spans="1:16" ht="15" customHeight="1" thickBot="1" x14ac:dyDescent="0.3">
      <c r="A141" s="42">
        <f>IF(H141&lt;&gt;"",1+MAX($A$5:A140),"")</f>
        <v>80</v>
      </c>
      <c r="B141" s="84"/>
      <c r="C141" s="84"/>
      <c r="D141" s="33"/>
      <c r="E141" s="34" t="s">
        <v>92</v>
      </c>
      <c r="F141" s="35">
        <f>F142/(0.67*1.34)</f>
        <v>97.578525284027606</v>
      </c>
      <c r="G141" s="36">
        <v>0.1</v>
      </c>
      <c r="H141" s="37">
        <f t="shared" si="153"/>
        <v>107.33637781243037</v>
      </c>
      <c r="I141" s="38" t="s">
        <v>46</v>
      </c>
      <c r="J141" s="39">
        <v>0</v>
      </c>
      <c r="K141" s="40">
        <f t="shared" si="154"/>
        <v>0</v>
      </c>
      <c r="L141" s="39">
        <v>0</v>
      </c>
      <c r="M141" s="40">
        <f t="shared" si="155"/>
        <v>0</v>
      </c>
      <c r="N141" s="40">
        <f t="shared" si="156"/>
        <v>0</v>
      </c>
      <c r="O141" s="41"/>
      <c r="P141" s="23"/>
    </row>
    <row r="142" spans="1:16" ht="15" customHeight="1" thickBot="1" x14ac:dyDescent="0.3">
      <c r="A142" s="42">
        <f>IF(H142&lt;&gt;"",1+MAX($A$5:A141),"")</f>
        <v>81</v>
      </c>
      <c r="B142" s="84"/>
      <c r="C142" s="84"/>
      <c r="D142" s="33"/>
      <c r="E142" s="34" t="s">
        <v>89</v>
      </c>
      <c r="F142" s="35">
        <f>F136*11.16</f>
        <v>87.605999999999995</v>
      </c>
      <c r="G142" s="36">
        <v>0.1</v>
      </c>
      <c r="H142" s="37">
        <f t="shared" si="153"/>
        <v>96.366600000000005</v>
      </c>
      <c r="I142" s="38" t="s">
        <v>48</v>
      </c>
      <c r="J142" s="39">
        <v>0</v>
      </c>
      <c r="K142" s="40">
        <f t="shared" si="154"/>
        <v>0</v>
      </c>
      <c r="L142" s="39">
        <v>0</v>
      </c>
      <c r="M142" s="40">
        <f t="shared" si="155"/>
        <v>0</v>
      </c>
      <c r="N142" s="40">
        <f t="shared" si="156"/>
        <v>0</v>
      </c>
      <c r="O142" s="41"/>
      <c r="P142" s="23"/>
    </row>
    <row r="143" spans="1:16" ht="15" customHeight="1" thickBot="1" x14ac:dyDescent="0.3">
      <c r="A143" s="42" t="str">
        <f>IF(H143&lt;&gt;"",1+MAX($A$5:A142),"")</f>
        <v/>
      </c>
      <c r="B143" s="84"/>
      <c r="C143" s="84"/>
      <c r="D143" s="33"/>
      <c r="E143" s="34"/>
      <c r="F143" s="35"/>
      <c r="G143" s="36"/>
      <c r="H143" s="37"/>
      <c r="I143" s="38"/>
      <c r="J143" s="39"/>
      <c r="K143" s="40"/>
      <c r="L143" s="39"/>
      <c r="M143" s="40"/>
      <c r="N143" s="40"/>
      <c r="O143" s="41"/>
      <c r="P143" s="23"/>
    </row>
    <row r="144" spans="1:16" ht="15" customHeight="1" thickBot="1" x14ac:dyDescent="0.3">
      <c r="A144" s="42" t="str">
        <f>IF(H144&lt;&gt;"",1+MAX($A$5:A143),"")</f>
        <v/>
      </c>
      <c r="B144" s="84"/>
      <c r="C144" s="84"/>
      <c r="D144" s="73"/>
      <c r="E144" s="74" t="s">
        <v>79</v>
      </c>
      <c r="F144" s="35">
        <v>65.98</v>
      </c>
      <c r="G144" s="36"/>
      <c r="H144" s="37"/>
      <c r="I144" s="38" t="s">
        <v>47</v>
      </c>
      <c r="J144" s="39"/>
      <c r="K144" s="40"/>
      <c r="L144" s="39"/>
      <c r="M144" s="40"/>
      <c r="N144" s="40"/>
      <c r="O144" s="41"/>
      <c r="P144" s="23"/>
    </row>
    <row r="145" spans="1:16" ht="15" customHeight="1" thickBot="1" x14ac:dyDescent="0.3">
      <c r="A145" s="42"/>
      <c r="B145" s="84"/>
      <c r="C145" s="84"/>
      <c r="D145" s="33"/>
      <c r="E145" s="34" t="s">
        <v>101</v>
      </c>
      <c r="F145" s="35">
        <f>(1+F144/4)*16.67</f>
        <v>291.64165000000003</v>
      </c>
      <c r="G145" s="36">
        <v>0.1</v>
      </c>
      <c r="H145" s="37">
        <f t="shared" ref="H145" si="157">F145*(1+G145)</f>
        <v>320.80581500000005</v>
      </c>
      <c r="I145" s="38" t="s">
        <v>47</v>
      </c>
      <c r="J145" s="39">
        <v>0</v>
      </c>
      <c r="K145" s="40">
        <f t="shared" ref="K145" si="158">J145*H145</f>
        <v>0</v>
      </c>
      <c r="L145" s="39">
        <v>0</v>
      </c>
      <c r="M145" s="40">
        <f t="shared" ref="M145" si="159">H145*L145</f>
        <v>0</v>
      </c>
      <c r="N145" s="40">
        <f t="shared" ref="N145" si="160">M145+K145</f>
        <v>0</v>
      </c>
      <c r="O145" s="41"/>
      <c r="P145" s="23"/>
    </row>
    <row r="146" spans="1:16" ht="15" customHeight="1" thickBot="1" x14ac:dyDescent="0.3">
      <c r="A146" s="42">
        <f>IF(H146&lt;&gt;"",1+MAX($A$5:A144),"")</f>
        <v>82</v>
      </c>
      <c r="B146" s="84"/>
      <c r="C146" s="84"/>
      <c r="D146" s="33"/>
      <c r="E146" s="34" t="s">
        <v>95</v>
      </c>
      <c r="F146" s="35">
        <f>1+F144/1.33</f>
        <v>50.609022556390975</v>
      </c>
      <c r="G146" s="36">
        <v>0.1</v>
      </c>
      <c r="H146" s="37">
        <f t="shared" ref="H146:H148" si="161">F146*(1+G146)</f>
        <v>55.669924812030075</v>
      </c>
      <c r="I146" s="38" t="s">
        <v>46</v>
      </c>
      <c r="J146" s="39">
        <v>0</v>
      </c>
      <c r="K146" s="40">
        <f t="shared" ref="K146:K148" si="162">J146*H146</f>
        <v>0</v>
      </c>
      <c r="L146" s="39">
        <v>0</v>
      </c>
      <c r="M146" s="40">
        <f t="shared" ref="M146:M148" si="163">H146*L146</f>
        <v>0</v>
      </c>
      <c r="N146" s="40">
        <f t="shared" ref="N146:N148" si="164">M146+K146</f>
        <v>0</v>
      </c>
      <c r="O146" s="41"/>
      <c r="P146" s="23"/>
    </row>
    <row r="147" spans="1:16" ht="15" customHeight="1" thickBot="1" x14ac:dyDescent="0.3">
      <c r="A147" s="42">
        <f>IF(H147&lt;&gt;"",1+MAX($A$5:A146),"")</f>
        <v>83</v>
      </c>
      <c r="B147" s="84"/>
      <c r="C147" s="84"/>
      <c r="D147" s="33"/>
      <c r="E147" s="34" t="s">
        <v>96</v>
      </c>
      <c r="F147" s="35">
        <f>F148/(0.67*1.34)</f>
        <v>1225.0908888393853</v>
      </c>
      <c r="G147" s="36">
        <v>0.1</v>
      </c>
      <c r="H147" s="37">
        <f t="shared" si="161"/>
        <v>1347.5999777233239</v>
      </c>
      <c r="I147" s="38" t="s">
        <v>46</v>
      </c>
      <c r="J147" s="39">
        <v>0</v>
      </c>
      <c r="K147" s="40">
        <f t="shared" si="162"/>
        <v>0</v>
      </c>
      <c r="L147" s="39">
        <v>0</v>
      </c>
      <c r="M147" s="40">
        <f t="shared" si="163"/>
        <v>0</v>
      </c>
      <c r="N147" s="40">
        <f t="shared" si="164"/>
        <v>0</v>
      </c>
      <c r="O147" s="41"/>
      <c r="P147" s="23"/>
    </row>
    <row r="148" spans="1:16" ht="15" customHeight="1" thickBot="1" x14ac:dyDescent="0.3">
      <c r="A148" s="42">
        <f>IF(H148&lt;&gt;"",1+MAX($A$5:A147),"")</f>
        <v>84</v>
      </c>
      <c r="B148" s="84"/>
      <c r="C148" s="84"/>
      <c r="D148" s="33"/>
      <c r="E148" s="34" t="s">
        <v>89</v>
      </c>
      <c r="F148" s="35">
        <f>F144*16.67</f>
        <v>1099.8866000000003</v>
      </c>
      <c r="G148" s="36">
        <v>0.1</v>
      </c>
      <c r="H148" s="37">
        <f t="shared" si="161"/>
        <v>1209.8752600000005</v>
      </c>
      <c r="I148" s="38" t="s">
        <v>48</v>
      </c>
      <c r="J148" s="39">
        <v>0</v>
      </c>
      <c r="K148" s="40">
        <f t="shared" si="162"/>
        <v>0</v>
      </c>
      <c r="L148" s="39">
        <v>0</v>
      </c>
      <c r="M148" s="40">
        <f t="shared" si="163"/>
        <v>0</v>
      </c>
      <c r="N148" s="40">
        <f t="shared" si="164"/>
        <v>0</v>
      </c>
      <c r="O148" s="41"/>
      <c r="P148" s="23"/>
    </row>
    <row r="149" spans="1:16" ht="15" customHeight="1" thickBot="1" x14ac:dyDescent="0.3">
      <c r="A149" s="42" t="str">
        <f>IF(H149&lt;&gt;"",1+MAX($A$5:A148),"")</f>
        <v/>
      </c>
      <c r="B149" s="31"/>
      <c r="C149" s="32"/>
      <c r="D149" s="33"/>
      <c r="E149" s="34"/>
      <c r="F149" s="35"/>
      <c r="G149" s="36"/>
      <c r="H149" s="37"/>
      <c r="I149" s="38"/>
      <c r="J149" s="39"/>
      <c r="K149" s="40"/>
      <c r="L149" s="39"/>
      <c r="M149" s="40"/>
      <c r="N149" s="40"/>
      <c r="O149" s="41"/>
      <c r="P149" s="23"/>
    </row>
    <row r="150" spans="1:16" ht="16.5" thickBot="1" x14ac:dyDescent="0.3">
      <c r="A150" s="81" t="s">
        <v>1</v>
      </c>
      <c r="B150" s="82"/>
      <c r="C150" s="82"/>
      <c r="D150" s="82"/>
      <c r="E150" s="82"/>
      <c r="F150" s="83"/>
      <c r="G150" s="43"/>
      <c r="H150" s="44"/>
      <c r="I150" s="45"/>
      <c r="J150" s="46"/>
      <c r="K150" s="47">
        <f>SUM(K5:K149)</f>
        <v>0</v>
      </c>
      <c r="L150" s="46"/>
      <c r="M150" s="47">
        <f>SUM(M5:M149)</f>
        <v>0</v>
      </c>
      <c r="N150" s="47">
        <f>SUM(K150:M150)</f>
        <v>0</v>
      </c>
      <c r="O150" s="48">
        <f>SUM(O5:O149)</f>
        <v>0</v>
      </c>
    </row>
    <row r="151" spans="1:16" ht="17.25" thickTop="1" thickBot="1" x14ac:dyDescent="0.3">
      <c r="A151" s="81" t="s">
        <v>33</v>
      </c>
      <c r="B151" s="82"/>
      <c r="C151" s="82"/>
      <c r="D151" s="82"/>
      <c r="E151" s="82"/>
      <c r="F151" s="83"/>
      <c r="G151" s="49"/>
      <c r="H151" s="50"/>
      <c r="I151" s="51"/>
      <c r="J151" s="7">
        <v>0.3</v>
      </c>
      <c r="K151" s="52">
        <f>J151*K150</f>
        <v>0</v>
      </c>
      <c r="L151" s="53"/>
      <c r="M151" s="52">
        <f>M150*J151</f>
        <v>0</v>
      </c>
      <c r="N151" s="52">
        <f>J151*N150</f>
        <v>0</v>
      </c>
      <c r="O151" s="54">
        <f>J151*O150</f>
        <v>0</v>
      </c>
    </row>
    <row r="152" spans="1:16" ht="17.25" thickTop="1" thickBot="1" x14ac:dyDescent="0.3">
      <c r="A152" s="81" t="s">
        <v>31</v>
      </c>
      <c r="B152" s="82"/>
      <c r="C152" s="82"/>
      <c r="D152" s="82"/>
      <c r="E152" s="82"/>
      <c r="F152" s="83"/>
      <c r="G152" s="55"/>
      <c r="H152" s="55"/>
      <c r="I152" s="56"/>
      <c r="J152" s="57">
        <v>0.05</v>
      </c>
      <c r="K152" s="58">
        <f>J152*K150</f>
        <v>0</v>
      </c>
      <c r="L152" s="59"/>
      <c r="M152" s="58">
        <f>M150*J152</f>
        <v>0</v>
      </c>
      <c r="N152" s="58">
        <f>J152*N150</f>
        <v>0</v>
      </c>
      <c r="O152" s="60">
        <f>J152*O150</f>
        <v>0</v>
      </c>
    </row>
    <row r="153" spans="1:16" ht="17.25" thickTop="1" thickBot="1" x14ac:dyDescent="0.3">
      <c r="A153" s="81" t="s">
        <v>32</v>
      </c>
      <c r="B153" s="82"/>
      <c r="C153" s="82"/>
      <c r="D153" s="82"/>
      <c r="E153" s="82"/>
      <c r="F153" s="83"/>
      <c r="G153" s="55"/>
      <c r="H153" s="55"/>
      <c r="I153" s="56"/>
      <c r="J153" s="57">
        <v>7.0000000000000007E-2</v>
      </c>
      <c r="K153" s="58">
        <f>J153*K150</f>
        <v>0</v>
      </c>
      <c r="L153" s="59"/>
      <c r="M153" s="58">
        <f>M150*J153</f>
        <v>0</v>
      </c>
      <c r="N153" s="58">
        <f>J153*N150</f>
        <v>0</v>
      </c>
      <c r="O153" s="60">
        <f>J153*O150</f>
        <v>0</v>
      </c>
    </row>
    <row r="154" spans="1:16" ht="17.25" thickTop="1" thickBot="1" x14ac:dyDescent="0.3">
      <c r="A154" s="61"/>
      <c r="B154" s="44"/>
      <c r="C154" s="44"/>
      <c r="D154" s="44"/>
      <c r="E154" s="44"/>
      <c r="F154" s="44"/>
      <c r="G154" s="44"/>
      <c r="H154" s="44"/>
      <c r="I154" s="45"/>
      <c r="J154" s="62"/>
      <c r="K154" s="63"/>
      <c r="L154" s="62"/>
      <c r="M154" s="63"/>
      <c r="N154" s="63"/>
      <c r="O154" s="64"/>
    </row>
    <row r="155" spans="1:16" ht="17.25" thickTop="1" thickBot="1" x14ac:dyDescent="0.3">
      <c r="A155" s="75" t="s">
        <v>8</v>
      </c>
      <c r="B155" s="76"/>
      <c r="C155" s="76"/>
      <c r="D155" s="76"/>
      <c r="E155" s="76"/>
      <c r="F155" s="77"/>
      <c r="G155" s="50"/>
      <c r="H155" s="50"/>
      <c r="I155" s="51"/>
      <c r="J155" s="65"/>
      <c r="K155" s="66">
        <f>SUM(K150:K153)</f>
        <v>0</v>
      </c>
      <c r="L155" s="65"/>
      <c r="M155" s="66">
        <f>SUM(M150:M153)</f>
        <v>0</v>
      </c>
      <c r="N155" s="66">
        <f>SUM(N150:N153)</f>
        <v>0</v>
      </c>
      <c r="O155" s="67">
        <f>SUM(O150:O153)</f>
        <v>0</v>
      </c>
    </row>
    <row r="156" spans="1:16" ht="17.25" thickTop="1" thickBot="1" x14ac:dyDescent="0.3">
      <c r="A156" s="15"/>
      <c r="B156" s="16"/>
      <c r="C156" s="16"/>
      <c r="D156" s="16"/>
      <c r="E156" s="16"/>
      <c r="F156" s="16"/>
      <c r="G156" s="16"/>
      <c r="H156" s="16"/>
      <c r="I156" s="68"/>
      <c r="J156" s="16"/>
      <c r="K156" s="16"/>
      <c r="L156" s="16"/>
      <c r="M156" s="16"/>
      <c r="N156" s="16"/>
      <c r="O156" s="69"/>
    </row>
    <row r="157" spans="1:16" x14ac:dyDescent="0.25">
      <c r="M157" s="2"/>
      <c r="N157" s="2"/>
    </row>
    <row r="158" spans="1:16" x14ac:dyDescent="0.25">
      <c r="M158" s="2"/>
      <c r="N158" s="2"/>
    </row>
    <row r="159" spans="1:16" x14ac:dyDescent="0.25">
      <c r="M159" s="2"/>
      <c r="N159" s="2"/>
    </row>
    <row r="160" spans="1:16" x14ac:dyDescent="0.25">
      <c r="M160" s="2"/>
      <c r="N160" s="2"/>
    </row>
    <row r="161" spans="13:14" x14ac:dyDescent="0.25">
      <c r="M161" s="71"/>
      <c r="N161" s="2"/>
    </row>
    <row r="162" spans="13:14" x14ac:dyDescent="0.25">
      <c r="M162" s="2"/>
      <c r="N162" s="2"/>
    </row>
    <row r="163" spans="13:14" x14ac:dyDescent="0.25">
      <c r="M163" s="2"/>
      <c r="N163" s="2"/>
    </row>
    <row r="164" spans="13:14" x14ac:dyDescent="0.25">
      <c r="M164" s="2"/>
      <c r="N164" s="2"/>
    </row>
    <row r="165" spans="13:14" x14ac:dyDescent="0.25">
      <c r="M165" s="2"/>
      <c r="N165" s="2"/>
    </row>
    <row r="166" spans="13:14" x14ac:dyDescent="0.25">
      <c r="M166" s="2"/>
      <c r="N166" s="2"/>
    </row>
    <row r="167" spans="13:14" x14ac:dyDescent="0.25">
      <c r="M167" s="2"/>
      <c r="N167" s="2"/>
    </row>
    <row r="168" spans="13:14" x14ac:dyDescent="0.25">
      <c r="M168" s="2"/>
      <c r="N168" s="2"/>
    </row>
    <row r="169" spans="13:14" x14ac:dyDescent="0.25">
      <c r="M169" s="2"/>
      <c r="N169" s="2"/>
    </row>
    <row r="170" spans="13:14" x14ac:dyDescent="0.25">
      <c r="M170" s="2"/>
      <c r="N170" s="2"/>
    </row>
    <row r="171" spans="13:14" x14ac:dyDescent="0.25">
      <c r="M171" s="2"/>
      <c r="N171" s="2"/>
    </row>
  </sheetData>
  <mergeCells count="12">
    <mergeCell ref="A155:F155"/>
    <mergeCell ref="H1:I1"/>
    <mergeCell ref="H2:I2"/>
    <mergeCell ref="H3:I3"/>
    <mergeCell ref="A150:F150"/>
    <mergeCell ref="A151:F151"/>
    <mergeCell ref="A152:F152"/>
    <mergeCell ref="A153:F153"/>
    <mergeCell ref="B18:B89"/>
    <mergeCell ref="C18:C89"/>
    <mergeCell ref="B92:B148"/>
    <mergeCell ref="C92:C148"/>
  </mergeCells>
  <printOptions horizontalCentered="1" verticalCentered="1"/>
  <pageMargins left="0.25" right="0.25" top="0.75" bottom="0.75" header="0.3" footer="0.3"/>
  <pageSetup scale="47" fitToHeight="2" orientation="portrait" r:id="rId1"/>
  <ignoredErrors>
    <ignoredError sqref="N150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S w i f t T o k e n s   x m l n s : x s d = " h t t p : / / w w w . w 3 . o r g / 2 0 0 1 / X M L S c h e m a "   x m l n s : x s i = " h t t p : / / w w w . w 3 . o r g / 2 0 0 1 / X M L S c h e m a - i n s t a n c e " > < T o k e n s / > < / S w i f t T o k e n s > 
</file>

<file path=customXml/itemProps1.xml><?xml version="1.0" encoding="utf-8"?>
<ds:datastoreItem xmlns:ds="http://schemas.openxmlformats.org/officeDocument/2006/customXml" ds:itemID="{0C3AE99E-4FDD-4659-BD92-DF2126C0A319}">
  <ds:schemaRefs>
    <ds:schemaRef ds:uri="http://www.w3.org/2001/XMLSchem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2</vt:i4>
      </vt:variant>
      <vt:variant>
        <vt:lpstr>Charts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Sheet1</vt:lpstr>
      <vt:lpstr>ESTIMATE</vt:lpstr>
      <vt:lpstr>Chart1</vt:lpstr>
      <vt:lpstr>ESTIMATE!Print_Area</vt:lpstr>
      <vt:lpstr>ESTIMATE!Print_Titles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 Marks</dc:creator>
  <cp:lastModifiedBy>Dell</cp:lastModifiedBy>
  <cp:lastPrinted>2020-08-15T23:49:15Z</cp:lastPrinted>
  <dcterms:created xsi:type="dcterms:W3CDTF">2004-05-05T14:08:18Z</dcterms:created>
  <dcterms:modified xsi:type="dcterms:W3CDTF">2024-03-01T15:53:23Z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S9Connected">
    <vt:bool>true</vt:bool>
  </property>
  <property fmtid="{D5CDD505-2E9C-101B-9397-08002B2CF9AE}" pid="3" name="PlanSwiftJobName">
    <vt:lpwstr/>
  </property>
  <property fmtid="{D5CDD505-2E9C-101B-9397-08002B2CF9AE}" pid="4" name="PlanSwiftJobGuid">
    <vt:lpwstr/>
  </property>
  <property fmtid="{D5CDD505-2E9C-101B-9397-08002B2CF9AE}" pid="5" name="LinkedDataId">
    <vt:lpwstr>{0C3AE99E-4FDD-4659-BD92-DF2126C0A319}</vt:lpwstr>
  </property>
</Properties>
</file>